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2" windowWidth="14952" windowHeight="9060" firstSheet="1" activeTab="2"/>
  </bookViews>
  <sheets>
    <sheet name="факт сумма  год" sheetId="1" r:id="rId1"/>
    <sheet name="2 полугодие" sheetId="2" r:id="rId2"/>
    <sheet name="по статьям 1 полугодие" sheetId="3" r:id="rId3"/>
    <sheet name="выполнение ремонт" sheetId="4" r:id="rId4"/>
  </sheets>
  <definedNames>
    <definedName name="_xlnm.Print_Area" localSheetId="1">'2 полугодие'!$A$1:$AW$67</definedName>
    <definedName name="_xlnm.Print_Area" localSheetId="3">'выполнение ремонт'!$A$1:$CR$68</definedName>
    <definedName name="_xlnm.Print_Area" localSheetId="2">'по статьям 1 полугодие'!$A$1:$AV$70</definedName>
    <definedName name="_xlnm.Print_Area" localSheetId="0">'факт сумма  год'!$A$1:$BE$67</definedName>
  </definedNames>
  <calcPr fullCalcOnLoad="1"/>
</workbook>
</file>

<file path=xl/sharedStrings.xml><?xml version="1.0" encoding="utf-8"?>
<sst xmlns="http://schemas.openxmlformats.org/spreadsheetml/2006/main" count="1030" uniqueCount="236">
  <si>
    <t>Адрес
 МКД</t>
  </si>
  <si>
    <t>Площадь
жилого и нежилого помещения</t>
  </si>
  <si>
    <t>Объем сбора платежей
(планируемый, в целом по МКД)</t>
  </si>
  <si>
    <t>Сбор на капитальный ремонт
(в целом по МКД)</t>
  </si>
  <si>
    <t xml:space="preserve">Сведения о расходах, полученных за оказание услуг </t>
  </si>
  <si>
    <t>управление
 МКД</t>
  </si>
  <si>
    <t>итого</t>
  </si>
  <si>
    <t>в рублях</t>
  </si>
  <si>
    <t>Тариф, руб.
(на 1 м. кв.)</t>
  </si>
  <si>
    <t xml:space="preserve">Сведения о доходах, полученных за оказание услуг </t>
  </si>
  <si>
    <t>60 лет ВЛКСМ 2а</t>
  </si>
  <si>
    <t>60 лет ВЛКСМ 21а</t>
  </si>
  <si>
    <t>Дальняя 1а</t>
  </si>
  <si>
    <t>Маркса 20</t>
  </si>
  <si>
    <t>Маркса 22</t>
  </si>
  <si>
    <t>Маркса 24</t>
  </si>
  <si>
    <t>Маркса 26</t>
  </si>
  <si>
    <t>Маркса 29</t>
  </si>
  <si>
    <t>Маркса 31</t>
  </si>
  <si>
    <t>Маркса 33</t>
  </si>
  <si>
    <t>Маркса 35</t>
  </si>
  <si>
    <t>Маркса 37</t>
  </si>
  <si>
    <t>Маркса 107</t>
  </si>
  <si>
    <t>Маркса 114</t>
  </si>
  <si>
    <t>Маркса 116</t>
  </si>
  <si>
    <t>Маркса 129</t>
  </si>
  <si>
    <t>Маркса 131</t>
  </si>
  <si>
    <t>Маркса 133</t>
  </si>
  <si>
    <t>Маркса 135</t>
  </si>
  <si>
    <t>Маркса 137</t>
  </si>
  <si>
    <t>Крупская,1</t>
  </si>
  <si>
    <t>Крупская,2</t>
  </si>
  <si>
    <t>Крупская,3</t>
  </si>
  <si>
    <t>Курнатовского 36а</t>
  </si>
  <si>
    <t>Курнатовского 38</t>
  </si>
  <si>
    <t>Курнатовского 40</t>
  </si>
  <si>
    <t>Курнатовского 42</t>
  </si>
  <si>
    <t>Курнатовского 46</t>
  </si>
  <si>
    <t>Курнатовского 64</t>
  </si>
  <si>
    <t>Курнатовского 129</t>
  </si>
  <si>
    <t>Курнатовского 131</t>
  </si>
  <si>
    <t>Курнатовского 186</t>
  </si>
  <si>
    <t>Курнатовского 200</t>
  </si>
  <si>
    <t>Ленина,81</t>
  </si>
  <si>
    <t>Ленина,83</t>
  </si>
  <si>
    <t>Ленина,84</t>
  </si>
  <si>
    <t>Ленина,92</t>
  </si>
  <si>
    <t>Лепешинских,3</t>
  </si>
  <si>
    <t>Октябрьская,53</t>
  </si>
  <si>
    <t>Октябрьская,53б</t>
  </si>
  <si>
    <t>Октябрьская,100а</t>
  </si>
  <si>
    <t>Октябрьская,118</t>
  </si>
  <si>
    <t>Октябрьская,120а</t>
  </si>
  <si>
    <t>Пролетарская,21</t>
  </si>
  <si>
    <t>Степная,1</t>
  </si>
  <si>
    <t>Степная,3</t>
  </si>
  <si>
    <t>Степная,5</t>
  </si>
  <si>
    <t>Щетинкина,13</t>
  </si>
  <si>
    <t>Щетинкина,24</t>
  </si>
  <si>
    <t>Кр.Партизан 7</t>
  </si>
  <si>
    <t>Кр.Партизан 9</t>
  </si>
  <si>
    <t>Сведения о выполненных работах, услугах</t>
  </si>
  <si>
    <t>за год план</t>
  </si>
  <si>
    <t>Дальняя 1б (14.07.11)</t>
  </si>
  <si>
    <t>Адрес МКД</t>
  </si>
  <si>
    <t>№№ п.п.</t>
  </si>
  <si>
    <t>мун.жилье на земле</t>
  </si>
  <si>
    <t>годовое</t>
  </si>
  <si>
    <t>очистка кровли от снега</t>
  </si>
  <si>
    <t>февраль</t>
  </si>
  <si>
    <t>ИТОГО</t>
  </si>
  <si>
    <t>март</t>
  </si>
  <si>
    <t>ремонт кровли</t>
  </si>
  <si>
    <t>апрель</t>
  </si>
  <si>
    <t>май</t>
  </si>
  <si>
    <t>июнь</t>
  </si>
  <si>
    <t>ноябрь</t>
  </si>
  <si>
    <t>ВСЕГО</t>
  </si>
  <si>
    <t>ВЫПОЛНЕННЫЕ РАБОТЫ ПО ТЕКУЩЕМУ РЕМОНТУ ЖИЛЬЯ (МКД)</t>
  </si>
  <si>
    <t>август</t>
  </si>
  <si>
    <t>Площадь,м2</t>
  </si>
  <si>
    <t>Объем сбора платежей-(начислено)
(планируемый, в целом по МКД)</t>
  </si>
  <si>
    <t>Сведения о доходах, полученных за оказание услуг (оплачено)</t>
  </si>
  <si>
    <t>электрика</t>
  </si>
  <si>
    <t>подъездное освещение</t>
  </si>
  <si>
    <t>2,37+0,65+0,64+0,57+0,33=4,56</t>
  </si>
  <si>
    <t>2,37+0,65+0,64+0,57+0,33+7,36=12,12</t>
  </si>
  <si>
    <t>2,37+0,65+0,64+0,57+0,33+8,4=12,96</t>
  </si>
  <si>
    <t>Курнатовского 204</t>
  </si>
  <si>
    <t xml:space="preserve"> ремонт МКД</t>
  </si>
  <si>
    <t>подъездное обслуживание</t>
  </si>
  <si>
    <t>обслуживание внутридомовых сетей</t>
  </si>
  <si>
    <t>промывка системы отопления</t>
  </si>
  <si>
    <t>ававрийная служба</t>
  </si>
  <si>
    <t>обсл.наружнных кан.сетей</t>
  </si>
  <si>
    <t>ремонт подъезда</t>
  </si>
  <si>
    <t>Курнатовсокго,204</t>
  </si>
  <si>
    <t>ремонт подъездов</t>
  </si>
  <si>
    <t>Щетинкина,24а</t>
  </si>
  <si>
    <t>октябрь</t>
  </si>
  <si>
    <t>ремонт дверей</t>
  </si>
  <si>
    <t>ремонт замка</t>
  </si>
  <si>
    <t>ремонт доводчика</t>
  </si>
  <si>
    <t>2 полугодие</t>
  </si>
  <si>
    <t>Тариф, руб. средний за год
(на 1 м. кв.)</t>
  </si>
  <si>
    <t>Факт</t>
  </si>
  <si>
    <t>подъездное</t>
  </si>
  <si>
    <t>агентский договор</t>
  </si>
  <si>
    <t>справки</t>
  </si>
  <si>
    <t>счет за эл.эн.</t>
  </si>
  <si>
    <t>счетчики</t>
  </si>
  <si>
    <t>22 ЖКХ</t>
  </si>
  <si>
    <t>тыс.руб.</t>
  </si>
  <si>
    <t>1 полугод</t>
  </si>
  <si>
    <t>многокв.дома</t>
  </si>
  <si>
    <t>обсл.наружных кан.сетей</t>
  </si>
  <si>
    <t>ремонт замков</t>
  </si>
  <si>
    <t>аварийная служба</t>
  </si>
  <si>
    <t>управление МКД</t>
  </si>
  <si>
    <t>обслуживание внутридомовых сетей 2,7</t>
  </si>
  <si>
    <t>промывка системы отопления 0,97</t>
  </si>
  <si>
    <t>электрика 0,55</t>
  </si>
  <si>
    <t>обсл.наружнных кан.сетей 0,37</t>
  </si>
  <si>
    <t>ИТОГО фактически начислено</t>
  </si>
  <si>
    <t>управление МКД фактически начислено</t>
  </si>
  <si>
    <t>Крупской, 2г</t>
  </si>
  <si>
    <t>управление МКД фактически оплачено</t>
  </si>
  <si>
    <t>ИТОГО фактически оплачено</t>
  </si>
  <si>
    <t>управление МКД фактические  расходы</t>
  </si>
  <si>
    <t>ВСЕГО оплачено</t>
  </si>
  <si>
    <t>ВСЕГО факт.затрат</t>
  </si>
  <si>
    <t>ФАКТ</t>
  </si>
  <si>
    <t>убыток</t>
  </si>
  <si>
    <t>подъездн.счетчики</t>
  </si>
  <si>
    <t>агент.договор</t>
  </si>
  <si>
    <t>всего</t>
  </si>
  <si>
    <t>ВСЕГО (СОД.+УПР.)</t>
  </si>
  <si>
    <t>ававрийная служба 0,75</t>
  </si>
  <si>
    <t>ремонт полов</t>
  </si>
  <si>
    <t>ремонт отмосток</t>
  </si>
  <si>
    <t>устр-во желобов</t>
  </si>
  <si>
    <t>установка дверного блока</t>
  </si>
  <si>
    <t>Крупской,2г</t>
  </si>
  <si>
    <t>установка пружины</t>
  </si>
  <si>
    <t>замена доводчика</t>
  </si>
  <si>
    <t>установка общедомового  счетчика</t>
  </si>
  <si>
    <t>обслуживание общедоомовых счетчиков</t>
  </si>
  <si>
    <t>Крупская,2г</t>
  </si>
  <si>
    <t>Крупская,2в</t>
  </si>
  <si>
    <t>Крупской,2в</t>
  </si>
  <si>
    <t>ОСНОВНЫЕ ПОКАЗАТЕЛИ ФИНАНСОВО-ХОЗЯЙСТВЕННОЙ ДЕЯТЕЛЬНОСТИ УПРАВЛЯЮЩЕЙ ОРГАНИЗАЦИИ  ООО "ЖИЛКОМХОЗ" ПО СОСТОЯНИЮ НА 31.12.2013 Г.  (ФАКТ ВЫПОЛНЕНИЯ)</t>
  </si>
  <si>
    <t>ВСЕГО (СОД.+УПР.)начислено</t>
  </si>
  <si>
    <t>ДОХОДЫ И РАСХОДЫ  ЗА  2013ГОД</t>
  </si>
  <si>
    <t>ИТОГО начислено</t>
  </si>
  <si>
    <t>управление
 МКД начислено</t>
  </si>
  <si>
    <t>ИТОГО оплачено</t>
  </si>
  <si>
    <t>управление
 МКД оплачено</t>
  </si>
  <si>
    <t>ИТОГО расходы</t>
  </si>
  <si>
    <t>управление
 МКД расходы</t>
  </si>
  <si>
    <t>ВСЕГО (СОД.+УПР.)оплачено</t>
  </si>
  <si>
    <t>оплачено</t>
  </si>
  <si>
    <t>ВСЕГО (СОД.+УПР.)расходы</t>
  </si>
  <si>
    <t>средний тариф</t>
  </si>
  <si>
    <t>факт.расходы</t>
  </si>
  <si>
    <t>2014 год</t>
  </si>
  <si>
    <t>январь</t>
  </si>
  <si>
    <t>ОСНОВНЫЕ ПОКАЗАТЕЛИ ФИНАНСОВО-ХОЗЯЙСТВЕННОЙ ДЕЯТЕЛЬНОСТИ УПРАВЛЯЮЩЕЙ ОРГАНИЗАЦИИ  ООО "ЖИЛКОМХОЗ" ПО СОСТОЯНИЮ НА 01.07.2014 Г.</t>
  </si>
  <si>
    <t>1 полугодие 2014 гд</t>
  </si>
  <si>
    <t>Крупской,2д</t>
  </si>
  <si>
    <t>очистка кровли от снега, ремонт дверей</t>
  </si>
  <si>
    <t>уст.окон.блоков ПВХ</t>
  </si>
  <si>
    <t>ремонт обшивки вентшахт</t>
  </si>
  <si>
    <t>ремонт дверей, установка пружин</t>
  </si>
  <si>
    <t>ремонт замков входных дверй</t>
  </si>
  <si>
    <t>замена окон.блоков</t>
  </si>
  <si>
    <t>расчистка кровли о т снега</t>
  </si>
  <si>
    <t>устройство коньков</t>
  </si>
  <si>
    <t>ремонт козырька</t>
  </si>
  <si>
    <t>засыпка траншеи</t>
  </si>
  <si>
    <t>установка зам ка</t>
  </si>
  <si>
    <t>прочистка вентиляции</t>
  </si>
  <si>
    <t>ремонт венттруб</t>
  </si>
  <si>
    <t>уст-ка оконных блоков</t>
  </si>
  <si>
    <t>прочиска вент-ции, ремонт кровли</t>
  </si>
  <si>
    <t>отсекление окон.рам</t>
  </si>
  <si>
    <t>ремонт ступеней, утср.желобов</t>
  </si>
  <si>
    <t>устр-во окон.блоков</t>
  </si>
  <si>
    <t>ремонт козырьков</t>
  </si>
  <si>
    <t>устр-во полов из керам.плиток</t>
  </si>
  <si>
    <t>ремонт шиферной кровли</t>
  </si>
  <si>
    <t>устр-во дерев.полов</t>
  </si>
  <si>
    <t>ремонт пола лестн.площадок</t>
  </si>
  <si>
    <t>устр-во пандусов</t>
  </si>
  <si>
    <t>ремонт вентшахты</t>
  </si>
  <si>
    <t>устр-во решетч.дверей в подвал</t>
  </si>
  <si>
    <t>ремонт межпан.швов</t>
  </si>
  <si>
    <t>обслуживание внутридомовых сетей 3,26</t>
  </si>
  <si>
    <t>промывка системы отопления 1,08</t>
  </si>
  <si>
    <t>ававрийная служба 0,78</t>
  </si>
  <si>
    <t>электрика 0,61</t>
  </si>
  <si>
    <t>обсл.наружнных кан.сетей 0,39</t>
  </si>
  <si>
    <t>обслуживание внутридомовых сетей3,26</t>
  </si>
  <si>
    <t>обсл.наружных кан.сетей 0,39</t>
  </si>
  <si>
    <t>ДОХОДЫ И РАСХОДЫ  ЗА ПЕРВОЕ ПОЛУГОДИЕ 2014 ГОД</t>
  </si>
  <si>
    <t>сводная</t>
  </si>
  <si>
    <t>Крупская 2д</t>
  </si>
  <si>
    <t>ВТОРОЕ ПОЛУГОДИЕ 2014 ГОДА</t>
  </si>
  <si>
    <t>ДОХОДЫ И РАСХОДЫ  ЗА ВТОРОЕ ПОЛУГОДИЕ 2014 ГОД</t>
  </si>
  <si>
    <t>УСТРОЙ СТВО БЕТОН. отмосток</t>
  </si>
  <si>
    <t>устр-во бетон.площадок под мусорн.конт.</t>
  </si>
  <si>
    <t>ремонт кирпичных стен</t>
  </si>
  <si>
    <t>покраска метал.стоек</t>
  </si>
  <si>
    <t>замена дверного блока</t>
  </si>
  <si>
    <t>устр-во бетон.отмосток</t>
  </si>
  <si>
    <t>сентябрь</t>
  </si>
  <si>
    <t>ремонт  подъезда</t>
  </si>
  <si>
    <t>устр-во шкафа</t>
  </si>
  <si>
    <t>плнировка грунта</t>
  </si>
  <si>
    <t>ремонт полов, разборка дверного блока</t>
  </si>
  <si>
    <t>устр-во штакетного забора</t>
  </si>
  <si>
    <t>ремонт штукатурки цоколя</t>
  </si>
  <si>
    <t>ремонт водостоков</t>
  </si>
  <si>
    <t>устр-во вент.решеток</t>
  </si>
  <si>
    <t>ремонт люка, дверей</t>
  </si>
  <si>
    <t>ремонт замка, доводчика</t>
  </si>
  <si>
    <t>ремонт окна</t>
  </si>
  <si>
    <t>устр-во кюветов</t>
  </si>
  <si>
    <t>очистка подвала от мусора</t>
  </si>
  <si>
    <t>ремонт облицовки фасада</t>
  </si>
  <si>
    <t>декабрь</t>
  </si>
  <si>
    <t>устр-полов из керам.плитки</t>
  </si>
  <si>
    <t>установка оконного блока ПВХ</t>
  </si>
  <si>
    <t>установка дверного блока деревянного</t>
  </si>
  <si>
    <t>установка дверного блока метал.</t>
  </si>
  <si>
    <t>установка дверного блока ПВХ</t>
  </si>
  <si>
    <t>ОСНОВНЫЕ ПОКАЗАТЕЛИ ФИНАНСОВО-ХОЗЯЙСТВЕННОЙ ДЕЯТЕЛЬНОСТИ УПРАВЛЯЮЩЕЙ ОРГАНИЗАЦИИ  ООО "ЖИЛКОМХОЗ" ПО СОСТОЯНИЮ НА 31.12.2014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</si>
</sst>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_-* #,##0.000_р_._-;\-* #,##0.000_р_._-;_-* &quot;-&quot;??_р_._-;_-@_-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2"/>
      <name val="Arial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30" borderId="10" xfId="0" applyFont="1" applyFill="1" applyBorder="1" applyAlignment="1">
      <alignment/>
    </xf>
    <xf numFmtId="0" fontId="3" fillId="30" borderId="15" xfId="0" applyFont="1" applyFill="1" applyBorder="1" applyAlignment="1">
      <alignment/>
    </xf>
    <xf numFmtId="0" fontId="3" fillId="30" borderId="10" xfId="0" applyFont="1" applyFill="1" applyBorder="1" applyAlignment="1">
      <alignment horizontal="center"/>
    </xf>
    <xf numFmtId="164" fontId="3" fillId="30" borderId="10" xfId="0" applyNumberFormat="1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2" fontId="3" fillId="30" borderId="10" xfId="0" applyNumberFormat="1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/>
    </xf>
    <xf numFmtId="2" fontId="0" fillId="4" borderId="0" xfId="0" applyNumberFormat="1" applyFill="1" applyAlignment="1">
      <alignment/>
    </xf>
    <xf numFmtId="0" fontId="5" fillId="0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3" fillId="31" borderId="10" xfId="0" applyFont="1" applyFill="1" applyBorder="1" applyAlignment="1">
      <alignment horizontal="center" vertical="center" wrapText="1"/>
    </xf>
    <xf numFmtId="164" fontId="3" fillId="31" borderId="10" xfId="0" applyNumberFormat="1" applyFont="1" applyFill="1" applyBorder="1" applyAlignment="1">
      <alignment horizontal="center" vertical="center" wrapText="1"/>
    </xf>
    <xf numFmtId="164" fontId="3" fillId="31" borderId="0" xfId="0" applyNumberFormat="1" applyFont="1" applyFill="1" applyAlignment="1">
      <alignment/>
    </xf>
    <xf numFmtId="2" fontId="0" fillId="31" borderId="0" xfId="0" applyNumberFormat="1" applyFill="1" applyAlignment="1">
      <alignment/>
    </xf>
    <xf numFmtId="164" fontId="0" fillId="31" borderId="0" xfId="0" applyNumberForma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/>
    </xf>
    <xf numFmtId="164" fontId="0" fillId="31" borderId="10" xfId="0" applyNumberFormat="1" applyFill="1" applyBorder="1" applyAlignment="1">
      <alignment/>
    </xf>
    <xf numFmtId="0" fontId="5" fillId="0" borderId="0" xfId="0" applyFont="1" applyAlignment="1">
      <alignment/>
    </xf>
    <xf numFmtId="0" fontId="3" fillId="31" borderId="11" xfId="0" applyFont="1" applyFill="1" applyBorder="1" applyAlignment="1">
      <alignment horizontal="center" vertical="center" wrapText="1"/>
    </xf>
    <xf numFmtId="164" fontId="3" fillId="31" borderId="1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0" fontId="3" fillId="4" borderId="14" xfId="0" applyFont="1" applyFill="1" applyBorder="1" applyAlignment="1">
      <alignment/>
    </xf>
    <xf numFmtId="0" fontId="3" fillId="30" borderId="14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vertical="center" wrapText="1"/>
    </xf>
    <xf numFmtId="2" fontId="3" fillId="4" borderId="10" xfId="0" applyNumberFormat="1" applyFont="1" applyFill="1" applyBorder="1" applyAlignment="1">
      <alignment vertical="center"/>
    </xf>
    <xf numFmtId="2" fontId="3" fillId="30" borderId="10" xfId="0" applyNumberFormat="1" applyFont="1" applyFill="1" applyBorder="1" applyAlignment="1">
      <alignment vertical="center" wrapText="1"/>
    </xf>
    <xf numFmtId="2" fontId="3" fillId="30" borderId="1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/>
    </xf>
    <xf numFmtId="0" fontId="3" fillId="31" borderId="11" xfId="0" applyFont="1" applyFill="1" applyBorder="1" applyAlignment="1">
      <alignment/>
    </xf>
    <xf numFmtId="2" fontId="3" fillId="31" borderId="10" xfId="0" applyNumberFormat="1" applyFont="1" applyFill="1" applyBorder="1" applyAlignment="1">
      <alignment horizontal="center" vertical="center" wrapText="1"/>
    </xf>
    <xf numFmtId="2" fontId="3" fillId="31" borderId="10" xfId="0" applyNumberFormat="1" applyFont="1" applyFill="1" applyBorder="1" applyAlignment="1">
      <alignment vertical="center" wrapText="1"/>
    </xf>
    <xf numFmtId="2" fontId="3" fillId="31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3" fillId="3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64" fontId="0" fillId="0" borderId="11" xfId="0" applyNumberForma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/>
    </xf>
    <xf numFmtId="0" fontId="3" fillId="8" borderId="11" xfId="0" applyFont="1" applyFill="1" applyBorder="1" applyAlignment="1">
      <alignment/>
    </xf>
    <xf numFmtId="164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2" fontId="3" fillId="8" borderId="10" xfId="0" applyNumberFormat="1" applyFont="1" applyFill="1" applyBorder="1" applyAlignment="1">
      <alignment horizontal="center" vertical="center" wrapText="1"/>
    </xf>
    <xf numFmtId="2" fontId="3" fillId="8" borderId="10" xfId="0" applyNumberFormat="1" applyFont="1" applyFill="1" applyBorder="1" applyAlignment="1">
      <alignment/>
    </xf>
    <xf numFmtId="2" fontId="3" fillId="8" borderId="10" xfId="0" applyNumberFormat="1" applyFont="1" applyFill="1" applyBorder="1" applyAlignment="1">
      <alignment vertical="center" wrapText="1"/>
    </xf>
    <xf numFmtId="0" fontId="7" fillId="8" borderId="10" xfId="0" applyFont="1" applyFill="1" applyBorder="1" applyAlignment="1">
      <alignment/>
    </xf>
    <xf numFmtId="0" fontId="0" fillId="8" borderId="0" xfId="0" applyFill="1" applyAlignment="1">
      <alignment/>
    </xf>
    <xf numFmtId="0" fontId="7" fillId="30" borderId="10" xfId="0" applyFont="1" applyFill="1" applyBorder="1" applyAlignment="1">
      <alignment/>
    </xf>
    <xf numFmtId="0" fontId="0" fillId="30" borderId="0" xfId="0" applyFill="1" applyAlignment="1">
      <alignment/>
    </xf>
    <xf numFmtId="0" fontId="3" fillId="0" borderId="30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2" fontId="2" fillId="32" borderId="32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32" borderId="33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vertical="center" wrapText="1"/>
    </xf>
    <xf numFmtId="2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/>
    </xf>
    <xf numFmtId="0" fontId="3" fillId="32" borderId="0" xfId="0" applyFont="1" applyFill="1" applyAlignment="1">
      <alignment/>
    </xf>
    <xf numFmtId="164" fontId="3" fillId="31" borderId="0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2" fontId="2" fillId="30" borderId="10" xfId="0" applyNumberFormat="1" applyFont="1" applyFill="1" applyBorder="1" applyAlignment="1">
      <alignment horizontal="center" vertical="center" wrapText="1"/>
    </xf>
    <xf numFmtId="2" fontId="2" fillId="30" borderId="35" xfId="0" applyNumberFormat="1" applyFont="1" applyFill="1" applyBorder="1" applyAlignment="1">
      <alignment horizontal="center" vertical="center" wrapText="1"/>
    </xf>
    <xf numFmtId="2" fontId="2" fillId="30" borderId="36" xfId="0" applyNumberFormat="1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35" xfId="0" applyNumberFormat="1" applyFont="1" applyFill="1" applyBorder="1" applyAlignment="1">
      <alignment horizontal="center" vertical="center" wrapText="1"/>
    </xf>
    <xf numFmtId="2" fontId="2" fillId="33" borderId="3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2" fillId="33" borderId="32" xfId="0" applyNumberFormat="1" applyFont="1" applyFill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2" fontId="2" fillId="24" borderId="10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vertical="center"/>
    </xf>
    <xf numFmtId="0" fontId="0" fillId="24" borderId="0" xfId="0" applyFill="1" applyAlignment="1">
      <alignment/>
    </xf>
    <xf numFmtId="2" fontId="2" fillId="8" borderId="10" xfId="0" applyNumberFormat="1" applyFont="1" applyFill="1" applyBorder="1" applyAlignment="1">
      <alignment horizontal="center" vertical="center" wrapText="1"/>
    </xf>
    <xf numFmtId="2" fontId="2" fillId="8" borderId="11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vertical="center"/>
    </xf>
    <xf numFmtId="0" fontId="10" fillId="32" borderId="2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2" fontId="8" fillId="32" borderId="0" xfId="0" applyNumberFormat="1" applyFont="1" applyFill="1" applyAlignment="1">
      <alignment/>
    </xf>
    <xf numFmtId="2" fontId="5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3" fillId="30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24" borderId="10" xfId="0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center"/>
    </xf>
    <xf numFmtId="2" fontId="3" fillId="3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2" fontId="2" fillId="32" borderId="22" xfId="0" applyNumberFormat="1" applyFont="1" applyFill="1" applyBorder="1" applyAlignment="1">
      <alignment horizontal="center" vertical="center" wrapText="1"/>
    </xf>
    <xf numFmtId="2" fontId="2" fillId="30" borderId="37" xfId="0" applyNumberFormat="1" applyFont="1" applyFill="1" applyBorder="1" applyAlignment="1">
      <alignment horizontal="center" vertical="center" wrapText="1"/>
    </xf>
    <xf numFmtId="0" fontId="3" fillId="31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4"/>
  <sheetViews>
    <sheetView zoomScalePageLayoutView="0" workbookViewId="0" topLeftCell="AL46">
      <selection activeCell="AQ62" sqref="AQ62"/>
    </sheetView>
  </sheetViews>
  <sheetFormatPr defaultColWidth="9.00390625" defaultRowHeight="12.75"/>
  <cols>
    <col min="1" max="1" width="4.375" style="0" customWidth="1"/>
    <col min="2" max="2" width="15.375" style="0" customWidth="1"/>
    <col min="3" max="3" width="8.375" style="0" customWidth="1"/>
    <col min="4" max="4" width="7.375" style="0" customWidth="1"/>
    <col min="5" max="5" width="5.625" style="0" customWidth="1"/>
    <col min="6" max="6" width="6.375" style="0" customWidth="1"/>
    <col min="7" max="9" width="7.375" style="0" customWidth="1"/>
    <col min="10" max="10" width="5.625" style="0" customWidth="1"/>
    <col min="11" max="12" width="6.50390625" style="0" customWidth="1"/>
    <col min="14" max="14" width="7.50390625" style="0" customWidth="1"/>
    <col min="17" max="17" width="10.50390625" style="0" customWidth="1"/>
    <col min="20" max="20" width="11.50390625" style="0" customWidth="1"/>
    <col min="21" max="22" width="9.50390625" style="0" customWidth="1"/>
    <col min="23" max="23" width="9.50390625" style="0" bestFit="1" customWidth="1"/>
    <col min="27" max="27" width="11.50390625" style="0" customWidth="1"/>
    <col min="28" max="29" width="11.00390625" style="0" customWidth="1"/>
    <col min="30" max="30" width="10.50390625" style="0" customWidth="1"/>
    <col min="31" max="31" width="11.875" style="0" customWidth="1"/>
    <col min="32" max="32" width="8.375" style="0" customWidth="1"/>
    <col min="33" max="35" width="10.625" style="0" customWidth="1"/>
    <col min="36" max="36" width="8.375" style="0" customWidth="1"/>
    <col min="37" max="37" width="8.50390625" style="0" customWidth="1"/>
    <col min="38" max="38" width="8.125" style="0" customWidth="1"/>
    <col min="40" max="40" width="11.00390625" style="0" customWidth="1"/>
    <col min="41" max="41" width="10.50390625" style="0" bestFit="1" customWidth="1"/>
    <col min="42" max="42" width="12.00390625" style="0" customWidth="1"/>
    <col min="43" max="43" width="8.50390625" style="0" customWidth="1"/>
    <col min="44" max="44" width="7.125" style="0" customWidth="1"/>
    <col min="45" max="45" width="10.125" style="0" customWidth="1"/>
    <col min="49" max="49" width="8.00390625" style="0" customWidth="1"/>
    <col min="50" max="50" width="7.50390625" style="0" customWidth="1"/>
    <col min="51" max="51" width="8.125" style="0" customWidth="1"/>
    <col min="52" max="52" width="9.625" style="0" customWidth="1"/>
    <col min="53" max="53" width="9.875" style="0" customWidth="1"/>
    <col min="54" max="55" width="11.00390625" style="0" customWidth="1"/>
    <col min="56" max="56" width="13.875" style="0" customWidth="1"/>
  </cols>
  <sheetData>
    <row r="1" spans="1:56" ht="17.25">
      <c r="A1" s="94"/>
      <c r="B1" s="1"/>
      <c r="C1" s="94" t="s">
        <v>150</v>
      </c>
      <c r="D1" s="94"/>
      <c r="E1" s="94"/>
      <c r="F1" s="94"/>
      <c r="G1" s="94"/>
      <c r="H1" s="94"/>
      <c r="I1" s="94"/>
      <c r="J1" s="94"/>
      <c r="K1" s="9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7"/>
      <c r="AA1" s="7"/>
      <c r="AB1" s="7"/>
      <c r="AC1" s="7"/>
      <c r="AD1" s="7"/>
      <c r="AE1" s="7"/>
      <c r="AF1" s="95"/>
      <c r="AG1" s="95"/>
      <c r="AH1" s="95"/>
      <c r="AI1" s="95"/>
      <c r="AJ1" s="95"/>
      <c r="AK1" s="95"/>
      <c r="AL1" s="95"/>
      <c r="AM1" s="9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94"/>
    </row>
    <row r="2" spans="2:55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96"/>
      <c r="AH2" s="96"/>
      <c r="AI2" s="96"/>
      <c r="AJ2" s="96"/>
      <c r="AK2" s="96"/>
      <c r="AL2" s="96"/>
      <c r="AM2" s="96"/>
      <c r="AN2" s="2"/>
      <c r="AO2" s="2"/>
      <c r="AP2" s="2"/>
      <c r="AQ2" s="2" t="s">
        <v>61</v>
      </c>
      <c r="AR2" s="2"/>
      <c r="AS2" s="2"/>
      <c r="AT2" s="2"/>
      <c r="AU2" s="2"/>
      <c r="AV2" s="2"/>
      <c r="AW2" s="2"/>
      <c r="AX2" s="2"/>
      <c r="AY2" s="2"/>
      <c r="AZ2" s="2"/>
      <c r="BA2" s="2"/>
      <c r="BB2" s="6" t="s">
        <v>7</v>
      </c>
      <c r="BC2" s="6"/>
    </row>
    <row r="3" spans="1:56" ht="12.75">
      <c r="A3" s="23"/>
      <c r="B3" s="224" t="s">
        <v>0</v>
      </c>
      <c r="C3" s="231" t="s">
        <v>1</v>
      </c>
      <c r="D3" s="232" t="s">
        <v>104</v>
      </c>
      <c r="E3" s="233"/>
      <c r="F3" s="233"/>
      <c r="G3" s="233"/>
      <c r="H3" s="233"/>
      <c r="I3" s="233"/>
      <c r="J3" s="233"/>
      <c r="K3" s="233"/>
      <c r="L3" s="233"/>
      <c r="M3" s="234"/>
      <c r="N3" s="62"/>
      <c r="O3" s="237" t="s">
        <v>118</v>
      </c>
      <c r="P3" s="166"/>
      <c r="Q3" s="224" t="s">
        <v>81</v>
      </c>
      <c r="R3" s="224"/>
      <c r="S3" s="224"/>
      <c r="T3" s="224"/>
      <c r="U3" s="224"/>
      <c r="V3" s="224"/>
      <c r="W3" s="224"/>
      <c r="X3" s="224"/>
      <c r="Y3" s="224"/>
      <c r="Z3" s="224"/>
      <c r="AA3" s="4"/>
      <c r="AB3" s="224" t="s">
        <v>154</v>
      </c>
      <c r="AC3" s="4"/>
      <c r="AD3" s="230" t="s">
        <v>152</v>
      </c>
      <c r="AE3" s="230"/>
      <c r="AF3" s="240"/>
      <c r="AG3" s="240"/>
      <c r="AH3" s="240"/>
      <c r="AI3" s="240"/>
      <c r="AJ3" s="240"/>
      <c r="AK3" s="240"/>
      <c r="AL3" s="240"/>
      <c r="AM3" s="24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5"/>
      <c r="BD3" s="224" t="s">
        <v>0</v>
      </c>
    </row>
    <row r="4" spans="1:56" ht="12.75">
      <c r="A4" s="25"/>
      <c r="B4" s="230"/>
      <c r="C4" s="231"/>
      <c r="D4" s="235"/>
      <c r="E4" s="236"/>
      <c r="F4" s="236"/>
      <c r="G4" s="236"/>
      <c r="H4" s="236"/>
      <c r="I4" s="236"/>
      <c r="J4" s="236"/>
      <c r="K4" s="236"/>
      <c r="L4" s="236"/>
      <c r="M4" s="236"/>
      <c r="N4" s="63"/>
      <c r="O4" s="229"/>
      <c r="P4" s="165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4"/>
      <c r="AB4" s="224"/>
      <c r="AC4" s="4"/>
      <c r="AD4" s="230" t="s">
        <v>82</v>
      </c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24" t="s">
        <v>156</v>
      </c>
      <c r="AP4" s="4"/>
      <c r="AQ4" s="230" t="s">
        <v>4</v>
      </c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24" t="s">
        <v>158</v>
      </c>
      <c r="BC4" s="4"/>
      <c r="BD4" s="230"/>
    </row>
    <row r="5" spans="1:56" ht="92.25">
      <c r="A5" s="24" t="s">
        <v>65</v>
      </c>
      <c r="B5" s="230"/>
      <c r="C5" s="224"/>
      <c r="D5" s="83" t="s">
        <v>89</v>
      </c>
      <c r="E5" s="84" t="s">
        <v>84</v>
      </c>
      <c r="F5" s="84" t="s">
        <v>90</v>
      </c>
      <c r="G5" s="84" t="s">
        <v>91</v>
      </c>
      <c r="H5" s="84" t="s">
        <v>145</v>
      </c>
      <c r="I5" s="84" t="s">
        <v>146</v>
      </c>
      <c r="J5" s="84" t="s">
        <v>92</v>
      </c>
      <c r="K5" s="84" t="s">
        <v>93</v>
      </c>
      <c r="L5" s="84" t="s">
        <v>83</v>
      </c>
      <c r="M5" s="84" t="s">
        <v>94</v>
      </c>
      <c r="N5" s="85" t="s">
        <v>70</v>
      </c>
      <c r="O5" s="230"/>
      <c r="P5" s="143" t="s">
        <v>136</v>
      </c>
      <c r="Q5" s="83" t="s">
        <v>89</v>
      </c>
      <c r="R5" s="84" t="s">
        <v>84</v>
      </c>
      <c r="S5" s="84" t="s">
        <v>90</v>
      </c>
      <c r="T5" s="84" t="s">
        <v>91</v>
      </c>
      <c r="U5" s="84" t="s">
        <v>145</v>
      </c>
      <c r="V5" s="84" t="s">
        <v>146</v>
      </c>
      <c r="W5" s="84" t="s">
        <v>92</v>
      </c>
      <c r="X5" s="84" t="s">
        <v>93</v>
      </c>
      <c r="Y5" s="84" t="s">
        <v>83</v>
      </c>
      <c r="Z5" s="84" t="s">
        <v>94</v>
      </c>
      <c r="AA5" s="85" t="s">
        <v>153</v>
      </c>
      <c r="AB5" s="224"/>
      <c r="AC5" s="143" t="s">
        <v>151</v>
      </c>
      <c r="AD5" s="83" t="s">
        <v>89</v>
      </c>
      <c r="AE5" s="84" t="s">
        <v>84</v>
      </c>
      <c r="AF5" s="84" t="s">
        <v>90</v>
      </c>
      <c r="AG5" s="84" t="s">
        <v>91</v>
      </c>
      <c r="AH5" s="84" t="s">
        <v>145</v>
      </c>
      <c r="AI5" s="84" t="s">
        <v>146</v>
      </c>
      <c r="AJ5" s="84" t="s">
        <v>92</v>
      </c>
      <c r="AK5" s="84" t="s">
        <v>93</v>
      </c>
      <c r="AL5" s="84" t="s">
        <v>83</v>
      </c>
      <c r="AM5" s="84" t="s">
        <v>94</v>
      </c>
      <c r="AN5" s="85" t="s">
        <v>155</v>
      </c>
      <c r="AO5" s="224"/>
      <c r="AP5" s="143" t="s">
        <v>159</v>
      </c>
      <c r="AQ5" s="83" t="s">
        <v>89</v>
      </c>
      <c r="AR5" s="84" t="s">
        <v>84</v>
      </c>
      <c r="AS5" s="84" t="s">
        <v>90</v>
      </c>
      <c r="AT5" s="84" t="s">
        <v>91</v>
      </c>
      <c r="AU5" s="84" t="s">
        <v>145</v>
      </c>
      <c r="AV5" s="84" t="s">
        <v>146</v>
      </c>
      <c r="AW5" s="84" t="s">
        <v>92</v>
      </c>
      <c r="AX5" s="84" t="s">
        <v>93</v>
      </c>
      <c r="AY5" s="84" t="s">
        <v>83</v>
      </c>
      <c r="AZ5" s="84" t="s">
        <v>94</v>
      </c>
      <c r="BA5" s="85" t="s">
        <v>157</v>
      </c>
      <c r="BB5" s="224"/>
      <c r="BC5" s="143" t="s">
        <v>161</v>
      </c>
      <c r="BD5" s="230"/>
    </row>
    <row r="6" spans="1:56" ht="15">
      <c r="A6" s="26">
        <v>1</v>
      </c>
      <c r="B6" s="9" t="s">
        <v>10</v>
      </c>
      <c r="C6" s="11">
        <v>846.55</v>
      </c>
      <c r="D6" s="87" t="e">
        <f>N6-E6-F6-G6-H6-I6-J6-K6-L6-M6</f>
        <v>#REF!</v>
      </c>
      <c r="E6" s="87">
        <f>('2 полугодие'!E43+'по статьям 1 полугодие'!E6)/2</f>
        <v>0.345</v>
      </c>
      <c r="F6" s="87"/>
      <c r="G6" s="87">
        <v>2.85</v>
      </c>
      <c r="H6" s="87" t="e">
        <f>U6/C6/12</f>
        <v>#REF!</v>
      </c>
      <c r="I6" s="87">
        <v>0.26</v>
      </c>
      <c r="J6" s="87">
        <v>1.03</v>
      </c>
      <c r="K6" s="87">
        <v>0.78</v>
      </c>
      <c r="L6" s="87">
        <v>0.58</v>
      </c>
      <c r="M6" s="87">
        <v>0.39</v>
      </c>
      <c r="N6" s="109">
        <v>11.92</v>
      </c>
      <c r="O6" s="5">
        <v>3.56</v>
      </c>
      <c r="P6" s="196">
        <f>N6+O6</f>
        <v>15.48</v>
      </c>
      <c r="Q6" s="13" t="e">
        <f>AA6-Z6-Y6-X6-W6-V6-U6-T6-S6-R6</f>
        <v>#REF!</v>
      </c>
      <c r="R6" s="13">
        <f>('2 полугодие'!P6+'по статьям 1 полугодие'!P6)</f>
        <v>3504.7200000000003</v>
      </c>
      <c r="S6" s="13">
        <f>'2 полугодие'!Q6+'по статьям 1 полугодие'!Q6</f>
        <v>0</v>
      </c>
      <c r="T6" s="13">
        <f>'2 полугодие'!R6+'по статьям 1 полугодие'!R6</f>
        <v>35457.41820095694</v>
      </c>
      <c r="U6" s="13" t="e">
        <f>AU6</f>
        <v>#REF!</v>
      </c>
      <c r="V6" s="13" t="e">
        <f>'2 полугодие'!#REF!+'по статьям 1 полугодие'!#REF!</f>
        <v>#REF!</v>
      </c>
      <c r="W6" s="13">
        <f>'2 полугодие'!S6+'по статьям 1 полугодие'!S6</f>
        <v>10972.581416267943</v>
      </c>
      <c r="X6" s="13">
        <f>'2 полугодие'!T6+'по статьям 1 полугодие'!T6</f>
        <v>7924.642133971292</v>
      </c>
      <c r="Y6" s="13">
        <f>'2 полугодие'!U6+'по статьям 1 полугодие'!U6</f>
        <v>7518.094540669857</v>
      </c>
      <c r="Z6" s="13">
        <f>'2 полугодие'!V6+'по статьям 1 полугодие'!V6</f>
        <v>3962.321066985646</v>
      </c>
      <c r="AA6" s="13">
        <f>'2 полугодие'!W6+'по статьям 1 полугодие'!W6</f>
        <v>129892.71900000001</v>
      </c>
      <c r="AB6" s="15">
        <f>'2 полугодие'!X6+'по статьям 1 полугодие'!X6</f>
        <v>38099.475</v>
      </c>
      <c r="AC6" s="15">
        <f>AA6+AB6</f>
        <v>167992.19400000002</v>
      </c>
      <c r="AD6" s="13" t="e">
        <f>AN6-AM6-AL6-AK6-AJ6-AI6-AH6-AG6-AF6-AE6</f>
        <v>#REF!</v>
      </c>
      <c r="AE6" s="13">
        <f>R6</f>
        <v>3504.7200000000003</v>
      </c>
      <c r="AF6" s="13">
        <f>'2 полугодие'!AB6+'по статьям 1 полугодие'!AB6</f>
        <v>0</v>
      </c>
      <c r="AG6" s="13">
        <f>'2 полугодие'!AC6+'по статьям 1 полугодие'!AC6</f>
        <v>35397.410830007066</v>
      </c>
      <c r="AH6" s="13" t="e">
        <f>AU6</f>
        <v>#REF!</v>
      </c>
      <c r="AI6" s="13" t="e">
        <f>'2 полугодие'!#REF!+'по статьям 1 полугодие'!#REF!</f>
        <v>#REF!</v>
      </c>
      <c r="AJ6" s="13">
        <f>'2 полугодие'!AD6+'по статьям 1 полугодие'!AD6</f>
        <v>10919.252764507375</v>
      </c>
      <c r="AK6" s="13">
        <f>'2 полугодие'!AE6+'по статьям 1 полугодие'!AE6</f>
        <v>7886.12699658866</v>
      </c>
      <c r="AL6" s="13">
        <f>'2 полугодие'!AF6+'по статьям 1 полугодие'!AF6</f>
        <v>7545.0415531205745</v>
      </c>
      <c r="AM6" s="13">
        <f>'2 полугодие'!AG6+'по статьям 1 полугодие'!AG6</f>
        <v>3943.06349829433</v>
      </c>
      <c r="AN6" s="16">
        <f>'2 полугодие'!AH6+'по статьям 1 полугодие'!AH6</f>
        <v>129381.065</v>
      </c>
      <c r="AO6" s="4">
        <f>'2 полугодие'!AI6+'по статьям 1 полугодие'!AI6</f>
        <v>36875.845</v>
      </c>
      <c r="AP6" s="15">
        <f>AN6+AO6</f>
        <v>166256.91</v>
      </c>
      <c r="AQ6" s="13">
        <f>'2 полугодие'!AK6+'по статьям 1 полугодие'!AK6</f>
        <v>87744</v>
      </c>
      <c r="AR6" s="13">
        <f>AE6</f>
        <v>3504.7200000000003</v>
      </c>
      <c r="AS6" s="13">
        <f>'2 полугодие'!AM6+'по статьям 1 полугодие'!AM6</f>
        <v>0</v>
      </c>
      <c r="AT6" s="13">
        <f>'2 полугодие'!AN6+'по статьям 1 полугодие'!AN6</f>
        <v>33768.96971519708</v>
      </c>
      <c r="AU6" s="13" t="e">
        <f>'2 полугодие'!#REF!+'по статьям 1 полугодие'!#REF!</f>
        <v>#REF!</v>
      </c>
      <c r="AV6" s="13" t="e">
        <f>'2 полугодие'!#REF!+'по статьям 1 полугодие'!#REF!</f>
        <v>#REF!</v>
      </c>
      <c r="AW6" s="13">
        <f>'2 полугодие'!AO6+'по статьям 1 полугодие'!AO6</f>
        <v>10450.077539302803</v>
      </c>
      <c r="AX6" s="13">
        <f>'2 полугодие'!AP6+'по статьям 1 полугодие'!AP6</f>
        <v>7547.278222829802</v>
      </c>
      <c r="AY6" s="13">
        <f>'2 полугодие'!AQ6+'по статьям 1 полугодие'!AQ6</f>
        <v>7160.090038733197</v>
      </c>
      <c r="AZ6" s="13">
        <f>'2 полугодие'!AR6+'по статьям 1 полугодие'!AR6</f>
        <v>3773.639111414901</v>
      </c>
      <c r="BA6" s="22" t="e">
        <f>SUM(AQ6:AZ6)</f>
        <v>#REF!</v>
      </c>
      <c r="BB6" s="15">
        <f>'2 полугодие'!AT6+'по статьям 1 полугодие'!AT6</f>
        <v>37192.232142857145</v>
      </c>
      <c r="BC6" s="15" t="e">
        <f>BA6+BB6</f>
        <v>#REF!</v>
      </c>
      <c r="BD6" s="9" t="s">
        <v>10</v>
      </c>
    </row>
    <row r="7" spans="1:56" ht="15.75" thickBot="1">
      <c r="A7" s="26">
        <v>2</v>
      </c>
      <c r="B7" s="9" t="s">
        <v>11</v>
      </c>
      <c r="C7" s="11">
        <v>1040.08</v>
      </c>
      <c r="D7" s="87" t="e">
        <f aca="true" t="shared" si="0" ref="D7:D34">N7-E7-F7-G7-H7-I7-J7-K7-L7-M7</f>
        <v>#REF!</v>
      </c>
      <c r="E7" s="87">
        <f>('2 полугодие'!E44+'по статьям 1 полугодие'!E7)/2</f>
        <v>0.6763642539525692</v>
      </c>
      <c r="F7" s="88"/>
      <c r="G7" s="87">
        <v>2.85</v>
      </c>
      <c r="H7" s="87" t="e">
        <f aca="true" t="shared" si="1" ref="H7:H34">U7/C7/12</f>
        <v>#REF!</v>
      </c>
      <c r="I7" s="87">
        <v>0.26</v>
      </c>
      <c r="J7" s="87">
        <v>1.03</v>
      </c>
      <c r="K7" s="87">
        <v>0.78</v>
      </c>
      <c r="L7" s="87">
        <v>0.58</v>
      </c>
      <c r="M7" s="87">
        <v>0.39</v>
      </c>
      <c r="N7" s="109">
        <v>11.92</v>
      </c>
      <c r="O7" s="5">
        <v>3.56</v>
      </c>
      <c r="P7" s="196">
        <f aca="true" t="shared" si="2" ref="P7:P34">N7+O7</f>
        <v>15.48</v>
      </c>
      <c r="Q7" s="13" t="e">
        <f aca="true" t="shared" si="3" ref="Q7:Q34">AA7-Z7-Y7-X7-W7-V7-U7-T7-S7-R7</f>
        <v>#REF!</v>
      </c>
      <c r="R7" s="13">
        <f>('2 полугодие'!P7+'по статьям 1 полугодие'!P7)</f>
        <v>10330.73</v>
      </c>
      <c r="S7" s="13">
        <f>'2 полугодие'!Q7+'по статьям 1 полугодие'!Q7</f>
        <v>0</v>
      </c>
      <c r="T7" s="13">
        <f>'2 полугодие'!R7+'по статьям 1 полугодие'!R7</f>
        <v>43558.54540861244</v>
      </c>
      <c r="U7" s="13" t="e">
        <f aca="true" t="shared" si="4" ref="U7:U34">AU7</f>
        <v>#REF!</v>
      </c>
      <c r="V7" s="13" t="e">
        <f>'2 полугодие'!#REF!+'по статьям 1 полугодие'!#REF!</f>
        <v>#REF!</v>
      </c>
      <c r="W7" s="13">
        <f>'2 полугодие'!S7+'по статьям 1 полугодие'!S7</f>
        <v>13479.435146411484</v>
      </c>
      <c r="X7" s="13">
        <f>'2 полугодие'!T7+'по статьям 1 полугодие'!T7</f>
        <v>9735.147605741628</v>
      </c>
      <c r="Y7" s="13">
        <f>'2 полугодие'!U7+'по статьям 1 полугодие'!U7</f>
        <v>9235.909466028708</v>
      </c>
      <c r="Z7" s="13">
        <f>'2 полугодие'!V7+'по статьям 1 полугодие'!V7</f>
        <v>4867.573802870814</v>
      </c>
      <c r="AA7" s="13">
        <f>'2 полугодие'!W7+'по статьям 1 полугодие'!W7</f>
        <v>159569.05440000002</v>
      </c>
      <c r="AB7" s="15">
        <f>'2 полугодие'!X7+'по статьям 1 полугодие'!X7</f>
        <v>46803.96</v>
      </c>
      <c r="AC7" s="15">
        <f aca="true" t="shared" si="5" ref="AC7:AC34">AA7+AB7</f>
        <v>206373.01440000001</v>
      </c>
      <c r="AD7" s="13" t="e">
        <f aca="true" t="shared" si="6" ref="AD7:AD34">AN7-AM7-AL7-AK7-AJ7-AI7-AH7-AG7-AF7-AE7</f>
        <v>#REF!</v>
      </c>
      <c r="AE7" s="13">
        <f aca="true" t="shared" si="7" ref="AE7:AE34">R7</f>
        <v>10330.73</v>
      </c>
      <c r="AF7" s="13">
        <f>'2 полугодие'!AB7+'по статьям 1 полугодие'!AB7</f>
        <v>0</v>
      </c>
      <c r="AG7" s="13">
        <f>'2 полугодие'!AC7+'по статьям 1 полугодие'!AC7</f>
        <v>33506.189763690956</v>
      </c>
      <c r="AH7" s="13" t="e">
        <f aca="true" t="shared" si="8" ref="AH7:AH34">AU7</f>
        <v>#REF!</v>
      </c>
      <c r="AI7" s="13" t="e">
        <f>'2 полугодие'!#REF!+'по статьям 1 полугодие'!#REF!</f>
        <v>#REF!</v>
      </c>
      <c r="AJ7" s="13">
        <f>'2 полугодие'!AD7+'по статьям 1 полугодие'!AD7</f>
        <v>10333.54052099131</v>
      </c>
      <c r="AK7" s="13">
        <f>'2 полугодие'!AE7+'по статьям 1 полугодие'!AE7</f>
        <v>7463.1125984937225</v>
      </c>
      <c r="AL7" s="13">
        <f>'2 полугодие'!AF7+'по статьям 1 полугодие'!AF7</f>
        <v>7144.566445737417</v>
      </c>
      <c r="AM7" s="13">
        <f>'2 полугодие'!AG7+'по статьям 1 полугодие'!AG7</f>
        <v>3731.5562992468613</v>
      </c>
      <c r="AN7" s="16">
        <f>'2 полугодие'!AH7+'по статьям 1 полугодие'!AH7</f>
        <v>122449.02</v>
      </c>
      <c r="AO7" s="4">
        <f>'2 полугодие'!AI7+'по статьям 1 полугодие'!AI7</f>
        <v>38361.8</v>
      </c>
      <c r="AP7" s="15">
        <f aca="true" t="shared" si="9" ref="AP7:AP34">AN7+AO7</f>
        <v>160810.82</v>
      </c>
      <c r="AQ7" s="13">
        <f>'2 полугодие'!AK7+'по статьям 1 полугодие'!AK7</f>
        <v>13624</v>
      </c>
      <c r="AR7" s="13">
        <f aca="true" t="shared" si="10" ref="AR7:AR34">AE7</f>
        <v>10330.73</v>
      </c>
      <c r="AS7" s="13">
        <f>'2 полугодие'!AM7+'по статьям 1 полугодие'!AM7</f>
        <v>0</v>
      </c>
      <c r="AT7" s="13">
        <f>'2 полугодие'!AN7+'по статьям 1 полугодие'!AN7</f>
        <v>41484.328960583276</v>
      </c>
      <c r="AU7" s="13" t="e">
        <f>'2 полугодие'!#REF!+'по статьям 1 полугодие'!#REF!</f>
        <v>#REF!</v>
      </c>
      <c r="AV7" s="13" t="e">
        <f>'2 полугодие'!#REF!+'по статьям 1 полугодие'!#REF!</f>
        <v>#REF!</v>
      </c>
      <c r="AW7" s="13">
        <f>'2 полугодие'!AO7+'по статьям 1 полугодие'!AO7</f>
        <v>12837.557282296651</v>
      </c>
      <c r="AX7" s="13">
        <f>'2 полугодие'!AP7+'по статьям 1 полугодие'!AP7</f>
        <v>9271.56914832536</v>
      </c>
      <c r="AY7" s="13">
        <f>'2 полугодие'!AQ7+'по статьям 1 полугодие'!AQ7</f>
        <v>8796.104253360674</v>
      </c>
      <c r="AZ7" s="13">
        <f>'2 полугодие'!AR7+'по статьям 1 полугодие'!AR7</f>
        <v>4635.78457416268</v>
      </c>
      <c r="BA7" s="22" t="e">
        <f aca="true" t="shared" si="11" ref="BA7:BA34">SUM(AQ7:AZ7)</f>
        <v>#REF!</v>
      </c>
      <c r="BB7" s="15">
        <f>'2 полугодие'!AT7+'по статьям 1 полугодие'!AT7</f>
        <v>45689.57142857143</v>
      </c>
      <c r="BC7" s="15" t="e">
        <f aca="true" t="shared" si="12" ref="BC7:BC34">BA7+BB7</f>
        <v>#REF!</v>
      </c>
      <c r="BD7" s="9" t="s">
        <v>11</v>
      </c>
    </row>
    <row r="8" spans="1:56" s="204" customFormat="1" ht="15.75" thickBot="1">
      <c r="A8" s="207">
        <v>3</v>
      </c>
      <c r="B8" s="208" t="s">
        <v>12</v>
      </c>
      <c r="C8" s="34">
        <v>739.2</v>
      </c>
      <c r="D8" s="171" t="e">
        <f t="shared" si="0"/>
        <v>#REF!</v>
      </c>
      <c r="E8" s="171">
        <f>('2 полугодие'!E45+'по статьям 1 полугодие'!E8)/2</f>
        <v>0.345</v>
      </c>
      <c r="F8" s="175">
        <v>7.34</v>
      </c>
      <c r="G8" s="171">
        <v>2.85</v>
      </c>
      <c r="H8" s="171" t="e">
        <f t="shared" si="1"/>
        <v>#REF!</v>
      </c>
      <c r="I8" s="171">
        <v>0.26</v>
      </c>
      <c r="J8" s="171">
        <v>1.03</v>
      </c>
      <c r="K8" s="171">
        <v>0.78</v>
      </c>
      <c r="L8" s="171">
        <v>0.58</v>
      </c>
      <c r="M8" s="171">
        <v>0.39</v>
      </c>
      <c r="N8" s="173">
        <v>14.24</v>
      </c>
      <c r="O8" s="174">
        <v>3.56</v>
      </c>
      <c r="P8" s="211">
        <f t="shared" si="2"/>
        <v>17.8</v>
      </c>
      <c r="Q8" s="203" t="e">
        <f t="shared" si="3"/>
        <v>#REF!</v>
      </c>
      <c r="R8" s="203">
        <f>('2 полугодие'!P8+'по статьям 1 полугодие'!P8)</f>
        <v>3060.29</v>
      </c>
      <c r="S8" s="203">
        <f>'2 полугодие'!Q8+'по статьям 1 полугодие'!Q8</f>
        <v>66971.50185580773</v>
      </c>
      <c r="T8" s="203">
        <f>'2 полугодие'!R8+'по статьям 1 полугодие'!R8</f>
        <v>30957.68816555407</v>
      </c>
      <c r="U8" s="203" t="e">
        <f t="shared" si="4"/>
        <v>#REF!</v>
      </c>
      <c r="V8" s="203" t="e">
        <f>'2 полугодие'!#REF!+'по статьям 1 полугодие'!#REF!</f>
        <v>#REF!</v>
      </c>
      <c r="W8" s="203">
        <f>'2 полугодие'!S8+'по статьям 1 полугодие'!S8</f>
        <v>9580.029404539386</v>
      </c>
      <c r="X8" s="203">
        <f>'2 полугодие'!T8+'по статьям 1 полугодие'!T8</f>
        <v>6918.910125500668</v>
      </c>
      <c r="Y8" s="203">
        <f>'2 полугодие'!U8+'по статьям 1 полугодие'!U8</f>
        <v>6564.0945340453945</v>
      </c>
      <c r="Z8" s="203">
        <f>'2 полугодие'!V8+'по статьям 1 полугодие'!V8</f>
        <v>3459.455062750334</v>
      </c>
      <c r="AA8" s="203">
        <f>'2 полугодие'!W8+'по статьям 1 полугодие'!W8</f>
        <v>135450.972</v>
      </c>
      <c r="AB8" s="212">
        <f>'2 полугодие'!X8+'по статьям 1 полугодие'!X8</f>
        <v>33264.240000000005</v>
      </c>
      <c r="AC8" s="212">
        <f t="shared" si="5"/>
        <v>168715.212</v>
      </c>
      <c r="AD8" s="203" t="e">
        <f t="shared" si="6"/>
        <v>#REF!</v>
      </c>
      <c r="AE8" s="203">
        <f t="shared" si="7"/>
        <v>3060.29</v>
      </c>
      <c r="AF8" s="203">
        <f>'2 полугодие'!AB8+'по статьям 1 полугодие'!AB8</f>
        <v>68348.06157807668</v>
      </c>
      <c r="AG8" s="203">
        <f>'2 полугодие'!AC8+'по статьям 1 полугодие'!AC8</f>
        <v>31730.40562220064</v>
      </c>
      <c r="AH8" s="203" t="e">
        <f t="shared" si="8"/>
        <v>#REF!</v>
      </c>
      <c r="AI8" s="203" t="e">
        <f>'2 полугодие'!#REF!+'по статьям 1 полугодие'!#REF!</f>
        <v>#REF!</v>
      </c>
      <c r="AJ8" s="203">
        <f>'2 полугодие'!AD8+'по статьям 1 полугодие'!AD8</f>
        <v>9776.941258850706</v>
      </c>
      <c r="AK8" s="203">
        <f>'2 полугодие'!AE8+'по статьям 1 полугодие'!AE8</f>
        <v>7061.124242503287</v>
      </c>
      <c r="AL8" s="203">
        <f>'2 полугодие'!AF8+'по статьям 1 полугодие'!AF8</f>
        <v>6776.111523642492</v>
      </c>
      <c r="AM8" s="203">
        <f>'2 полугодие'!AG8+'по статьям 1 полугодие'!AG8</f>
        <v>3530.5621212516435</v>
      </c>
      <c r="AN8" s="213">
        <f>'2 полугодие'!AH8+'по статьям 1 полугодие'!AH8</f>
        <v>138407.07</v>
      </c>
      <c r="AO8" s="214">
        <f>'2 полугодие'!AI8+'по статьям 1 полугодие'!AI8</f>
        <v>32494.29</v>
      </c>
      <c r="AP8" s="212">
        <f t="shared" si="9"/>
        <v>170901.36000000002</v>
      </c>
      <c r="AQ8" s="203">
        <f>'2 полугодие'!AK8+'по статьям 1 полугодие'!AK8</f>
        <v>0</v>
      </c>
      <c r="AR8" s="203">
        <f t="shared" si="10"/>
        <v>3060.29</v>
      </c>
      <c r="AS8" s="203">
        <f>'2 полугодие'!AM8+'по статьям 1 полугодие'!AM8</f>
        <v>65376.942719816885</v>
      </c>
      <c r="AT8" s="203">
        <f>'2 полугодие'!AN8+'по статьям 1 полугодие'!AN8</f>
        <v>29483.512538622923</v>
      </c>
      <c r="AU8" s="203" t="e">
        <f>'2 полугодие'!#REF!+'по статьям 1 полугодие'!#REF!</f>
        <v>#REF!</v>
      </c>
      <c r="AV8" s="203" t="e">
        <f>'2 полугодие'!#REF!+'по статьям 1 полугодие'!#REF!</f>
        <v>#REF!</v>
      </c>
      <c r="AW8" s="203">
        <f>'2 полугодие'!AO8+'по статьям 1 полугодие'!AO8</f>
        <v>9123.83752813275</v>
      </c>
      <c r="AX8" s="203">
        <f>'2 полугодие'!AP8+'по статьям 1 полугодие'!AP8</f>
        <v>6589.43821476254</v>
      </c>
      <c r="AY8" s="203">
        <f>'2 полугодие'!AQ8+'по статьям 1 полугодие'!AQ8</f>
        <v>6251.518603852755</v>
      </c>
      <c r="AZ8" s="203">
        <f>'2 полугодие'!AR8+'по статьям 1 полугодие'!AR8</f>
        <v>3294.71910738127</v>
      </c>
      <c r="BA8" s="215" t="e">
        <f t="shared" si="11"/>
        <v>#REF!</v>
      </c>
      <c r="BB8" s="212">
        <f>'2 полугодие'!AT8+'по статьям 1 полугодие'!AT8</f>
        <v>32472.22857142857</v>
      </c>
      <c r="BC8" s="212" t="e">
        <f t="shared" si="12"/>
        <v>#REF!</v>
      </c>
      <c r="BD8" s="208" t="s">
        <v>12</v>
      </c>
    </row>
    <row r="9" spans="1:56" s="204" customFormat="1" ht="15.75" thickBot="1">
      <c r="A9" s="207">
        <v>4</v>
      </c>
      <c r="B9" s="208" t="s">
        <v>63</v>
      </c>
      <c r="C9" s="37">
        <v>372</v>
      </c>
      <c r="D9" s="171" t="e">
        <f t="shared" si="0"/>
        <v>#REF!</v>
      </c>
      <c r="E9" s="171">
        <f>('2 полугодие'!E46+'по статьям 1 полугодие'!E9)/2</f>
        <v>0.345</v>
      </c>
      <c r="F9" s="176">
        <v>7.34</v>
      </c>
      <c r="G9" s="171">
        <v>2.85</v>
      </c>
      <c r="H9" s="171" t="e">
        <f t="shared" si="1"/>
        <v>#REF!</v>
      </c>
      <c r="I9" s="171">
        <v>0.26</v>
      </c>
      <c r="J9" s="171">
        <v>1.03</v>
      </c>
      <c r="K9" s="171">
        <v>0.78</v>
      </c>
      <c r="L9" s="171">
        <v>0.58</v>
      </c>
      <c r="M9" s="171">
        <v>0.39</v>
      </c>
      <c r="N9" s="173">
        <v>14.24</v>
      </c>
      <c r="O9" s="174">
        <v>3.56</v>
      </c>
      <c r="P9" s="211">
        <f t="shared" si="2"/>
        <v>17.8</v>
      </c>
      <c r="Q9" s="203" t="e">
        <f t="shared" si="3"/>
        <v>#REF!</v>
      </c>
      <c r="R9" s="203">
        <f>('2 полугодие'!P9+'по статьям 1 полугодие'!P9)</f>
        <v>1540.08</v>
      </c>
      <c r="S9" s="203">
        <f>'2 полугодие'!Q9+'по статьям 1 полугодие'!Q9</f>
        <v>33703.16975967957</v>
      </c>
      <c r="T9" s="203">
        <f>'2 полугодие'!R9+'по статьям 1 полугодие'!R9</f>
        <v>15579.34694259012</v>
      </c>
      <c r="U9" s="203" t="e">
        <f t="shared" si="4"/>
        <v>#REF!</v>
      </c>
      <c r="V9" s="203" t="e">
        <f>'2 полугодие'!#REF!+'по статьям 1 полугодие'!#REF!</f>
        <v>#REF!</v>
      </c>
      <c r="W9" s="203">
        <f>'2 полугодие'!S9+'по статьям 1 полугодие'!S9</f>
        <v>4821.11567423231</v>
      </c>
      <c r="X9" s="203">
        <f>'2 полугодие'!T9+'по статьям 1 полугодие'!T9</f>
        <v>3481.9168758344463</v>
      </c>
      <c r="Y9" s="203">
        <f>'2 полугодие'!U9+'по статьям 1 полугодие'!U9</f>
        <v>3303.357556742323</v>
      </c>
      <c r="Z9" s="203">
        <f>'2 полугодие'!V9+'по статьям 1 полугодие'!V9</f>
        <v>1740.9584379172231</v>
      </c>
      <c r="AA9" s="203">
        <f>'2 полугодие'!W9+'по статьям 1 полугодие'!W9</f>
        <v>68165.22</v>
      </c>
      <c r="AB9" s="212">
        <f>'2 полугодие'!X9+'по статьям 1 полугодие'!X9</f>
        <v>16740.120000000003</v>
      </c>
      <c r="AC9" s="212">
        <f t="shared" si="5"/>
        <v>84905.34</v>
      </c>
      <c r="AD9" s="203" t="e">
        <f t="shared" si="6"/>
        <v>#REF!</v>
      </c>
      <c r="AE9" s="203">
        <f t="shared" si="7"/>
        <v>1540.08</v>
      </c>
      <c r="AF9" s="203">
        <f>'2 полугодие'!AB9+'по статьям 1 полугодие'!AB9</f>
        <v>33460.273422961545</v>
      </c>
      <c r="AG9" s="203">
        <f>'2 полугодие'!AC9+'по статьям 1 полугодие'!AC9</f>
        <v>15472.240220413849</v>
      </c>
      <c r="AH9" s="203" t="e">
        <f t="shared" si="8"/>
        <v>#REF!</v>
      </c>
      <c r="AI9" s="203" t="e">
        <f>'2 полугодие'!#REF!+'по статьям 1 полугодие'!#REF!</f>
        <v>#REF!</v>
      </c>
      <c r="AJ9" s="203">
        <f>'2 полугодие'!AD9+'по статьям 1 полугодие'!AD9</f>
        <v>4786.370237986552</v>
      </c>
      <c r="AK9" s="203">
        <f>'2 полугодие'!AE9+'по статьям 1 полугодие'!AE9</f>
        <v>3456.8229496569547</v>
      </c>
      <c r="AL9" s="203">
        <f>'2 полугодие'!AF9+'по статьям 1 полугодие'!AF9</f>
        <v>3282.474092097089</v>
      </c>
      <c r="AM9" s="203">
        <f>'2 полугодие'!AG9+'по статьям 1 полугодие'!AG9</f>
        <v>1728.4114748284774</v>
      </c>
      <c r="AN9" s="213">
        <f>'2 полугодие'!AH9+'по статьям 1 полугодие'!AH9</f>
        <v>67680.48</v>
      </c>
      <c r="AO9" s="214">
        <f>'2 полугодие'!AI9+'по статьям 1 полугодие'!AI9</f>
        <v>16637.45</v>
      </c>
      <c r="AP9" s="212">
        <f t="shared" si="9"/>
        <v>84317.93</v>
      </c>
      <c r="AQ9" s="203">
        <f>'2 полугодие'!AK9+'по статьям 1 полугодие'!AK9</f>
        <v>0</v>
      </c>
      <c r="AR9" s="203">
        <f t="shared" si="10"/>
        <v>1540.08</v>
      </c>
      <c r="AS9" s="203">
        <f>'2 полугодие'!AM9+'по статьям 1 полугодие'!AM9</f>
        <v>32900.71405683769</v>
      </c>
      <c r="AT9" s="203">
        <f>'2 полугодие'!AN9+'по статьям 1 полугодие'!AN9</f>
        <v>14837.473278657257</v>
      </c>
      <c r="AU9" s="203" t="e">
        <f>'2 полугодие'!#REF!+'по статьям 1 полугодие'!#REF!</f>
        <v>#REF!</v>
      </c>
      <c r="AV9" s="203" t="e">
        <f>'2 полугодие'!#REF!+'по статьям 1 полугодие'!#REF!</f>
        <v>#REF!</v>
      </c>
      <c r="AW9" s="203">
        <f>'2 полугодие'!AO9+'по статьям 1 полугодие'!AO9</f>
        <v>4591.538737364104</v>
      </c>
      <c r="AX9" s="203">
        <f>'2 полугодие'!AP9+'по статьям 1 полугодие'!AP9</f>
        <v>3316.1113103185203</v>
      </c>
      <c r="AY9" s="203">
        <f>'2 полугодие'!AQ9+'по статьям 1 полугодие'!AQ9</f>
        <v>3146.0548159450695</v>
      </c>
      <c r="AZ9" s="203">
        <f>'2 полугодие'!AR9+'по статьям 1 полугодие'!AR9</f>
        <v>1658.0556551592601</v>
      </c>
      <c r="BA9" s="215" t="e">
        <f t="shared" si="11"/>
        <v>#REF!</v>
      </c>
      <c r="BB9" s="212">
        <f>'2 полугодие'!AT9+'по статьям 1 полугодие'!AT9</f>
        <v>16341.542857142857</v>
      </c>
      <c r="BC9" s="212" t="e">
        <f t="shared" si="12"/>
        <v>#REF!</v>
      </c>
      <c r="BD9" s="208" t="s">
        <v>63</v>
      </c>
    </row>
    <row r="10" spans="1:56" ht="15">
      <c r="A10" s="26">
        <v>5</v>
      </c>
      <c r="B10" s="9" t="s">
        <v>13</v>
      </c>
      <c r="C10" s="11">
        <v>563.35</v>
      </c>
      <c r="D10" s="87" t="e">
        <f t="shared" si="0"/>
        <v>#REF!</v>
      </c>
      <c r="E10" s="87">
        <f>('2 полугодие'!E47+'по статьям 1 полугодие'!E10)/2</f>
        <v>0.7386444051304732</v>
      </c>
      <c r="F10" s="89"/>
      <c r="G10" s="87">
        <v>2.85</v>
      </c>
      <c r="H10" s="87" t="e">
        <f t="shared" si="1"/>
        <v>#REF!</v>
      </c>
      <c r="I10" s="87">
        <v>0.26</v>
      </c>
      <c r="J10" s="87">
        <v>1.03</v>
      </c>
      <c r="K10" s="87">
        <v>0.78</v>
      </c>
      <c r="L10" s="87">
        <v>0.58</v>
      </c>
      <c r="M10" s="87">
        <v>0.39</v>
      </c>
      <c r="N10" s="109">
        <v>11.92</v>
      </c>
      <c r="O10" s="5">
        <v>3.56</v>
      </c>
      <c r="P10" s="196">
        <f t="shared" si="2"/>
        <v>15.48</v>
      </c>
      <c r="Q10" s="13" t="e">
        <f t="shared" si="3"/>
        <v>#REF!</v>
      </c>
      <c r="R10" s="13">
        <f>('2 полугодие'!P10+'по статьям 1 полугодие'!P10)</f>
        <v>5702.33</v>
      </c>
      <c r="S10" s="13">
        <f>'2 полугодие'!Q10+'по статьям 1 полугодие'!Q10</f>
        <v>0</v>
      </c>
      <c r="T10" s="13">
        <f>'2 полугодие'!R10+'по статьям 1 полугодие'!R10</f>
        <v>23581.369799043063</v>
      </c>
      <c r="U10" s="13" t="e">
        <f t="shared" si="4"/>
        <v>#REF!</v>
      </c>
      <c r="V10" s="13" t="e">
        <f>'2 полугодие'!#REF!+'по статьям 1 полугодие'!#REF!</f>
        <v>#REF!</v>
      </c>
      <c r="W10" s="13">
        <f>'2 полугодие'!S10+'по статьям 1 полугодие'!S10</f>
        <v>7297.130583732058</v>
      </c>
      <c r="X10" s="13">
        <f>'2 полугодие'!T10+'по статьям 1 полугодие'!T10</f>
        <v>5270.149866028709</v>
      </c>
      <c r="Y10" s="13">
        <f>'2 полугодие'!U10+'по статьям 1 полугодие'!U10</f>
        <v>5000.353459330144</v>
      </c>
      <c r="Z10" s="13">
        <f>'2 полугодие'!V10+'по статьям 1 полугодие'!V10</f>
        <v>2635.0749330143544</v>
      </c>
      <c r="AA10" s="13">
        <f>'2 полугодие'!W10+'по статьям 1 полугодие'!W10</f>
        <v>86384.043</v>
      </c>
      <c r="AB10" s="15">
        <f>'2 полугодие'!X10+'по статьям 1 полугодие'!X10</f>
        <v>25337.415</v>
      </c>
      <c r="AC10" s="15">
        <f t="shared" si="5"/>
        <v>111721.45800000001</v>
      </c>
      <c r="AD10" s="13" t="e">
        <f t="shared" si="6"/>
        <v>#REF!</v>
      </c>
      <c r="AE10" s="13">
        <f t="shared" si="7"/>
        <v>5702.33</v>
      </c>
      <c r="AF10" s="13">
        <f>'2 полугодие'!AB10+'по статьям 1 полугодие'!AB10</f>
        <v>0</v>
      </c>
      <c r="AG10" s="13">
        <f>'2 полугодие'!AC10+'по статьям 1 полугодие'!AC10</f>
        <v>22287.42572239746</v>
      </c>
      <c r="AH10" s="13" t="e">
        <f t="shared" si="8"/>
        <v>#REF!</v>
      </c>
      <c r="AI10" s="13" t="e">
        <f>'2 полугодие'!#REF!+'по статьям 1 полугодие'!#REF!</f>
        <v>#REF!</v>
      </c>
      <c r="AJ10" s="13">
        <f>'2 полугодие'!AD10+'по статьям 1 полугодие'!AD10</f>
        <v>6884.820378735859</v>
      </c>
      <c r="AK10" s="13">
        <f>'2 полугодие'!AE10+'по статьям 1 полугодие'!AE10</f>
        <v>4972.370273531453</v>
      </c>
      <c r="AL10" s="13">
        <f>'2 полугодие'!AF10+'по статьям 1 полугодие'!AF10</f>
        <v>4739.565193450031</v>
      </c>
      <c r="AM10" s="13">
        <f>'2 полугодие'!AG10+'по статьям 1 полугодие'!AG10</f>
        <v>2486.1851367657264</v>
      </c>
      <c r="AN10" s="16">
        <f>'2 полугодие'!AH10+'по статьям 1 полугодие'!AH10</f>
        <v>81544.065</v>
      </c>
      <c r="AO10" s="4">
        <f>'2 полугодие'!AI10+'по статьям 1 полугодие'!AI10</f>
        <v>24152.114999999998</v>
      </c>
      <c r="AP10" s="15">
        <f t="shared" si="9"/>
        <v>105696.18</v>
      </c>
      <c r="AQ10" s="13">
        <f>'2 полугодие'!AK10+'по статьям 1 полугодие'!AK10</f>
        <v>26130</v>
      </c>
      <c r="AR10" s="13">
        <f t="shared" si="10"/>
        <v>5702.33</v>
      </c>
      <c r="AS10" s="13">
        <f>'2 полугодие'!AM10+'по статьям 1 полугодие'!AM10</f>
        <v>0</v>
      </c>
      <c r="AT10" s="13">
        <f>'2 полугодие'!AN10+'по статьям 1 полугодие'!AN10</f>
        <v>22458.44742766006</v>
      </c>
      <c r="AU10" s="13" t="e">
        <f>'2 полугодие'!#REF!+'по статьям 1 полугодие'!#REF!</f>
        <v>#REF!</v>
      </c>
      <c r="AV10" s="13" t="e">
        <f>'2 полугодие'!#REF!+'по статьям 1 полугодие'!#REF!</f>
        <v>#REF!</v>
      </c>
      <c r="AW10" s="13">
        <f>'2 полугодие'!AO10+'по статьям 1 полугодие'!AO10</f>
        <v>6949.648174982913</v>
      </c>
      <c r="AX10" s="13">
        <f>'2 полугодие'!AP10+'по статьям 1 полугодие'!AP10</f>
        <v>5019.19034859877</v>
      </c>
      <c r="AY10" s="13">
        <f>'2 полугодие'!AQ10+'по статьям 1 полугодие'!AQ10</f>
        <v>4762.241389838232</v>
      </c>
      <c r="AZ10" s="13">
        <f>'2 полугодие'!AR10+'по статьям 1 полугодие'!AR10</f>
        <v>2509.595174299385</v>
      </c>
      <c r="BA10" s="22" t="e">
        <f t="shared" si="11"/>
        <v>#REF!</v>
      </c>
      <c r="BB10" s="15">
        <f>'2 полугодие'!AT10+'по статьям 1 полугодие'!AT10</f>
        <v>24734.460714285713</v>
      </c>
      <c r="BC10" s="15" t="e">
        <f t="shared" si="12"/>
        <v>#REF!</v>
      </c>
      <c r="BD10" s="9" t="s">
        <v>13</v>
      </c>
    </row>
    <row r="11" spans="1:56" ht="15">
      <c r="A11" s="26">
        <v>6</v>
      </c>
      <c r="B11" s="9" t="s">
        <v>14</v>
      </c>
      <c r="C11" s="11">
        <v>569.27</v>
      </c>
      <c r="D11" s="87" t="e">
        <f t="shared" si="0"/>
        <v>#REF!</v>
      </c>
      <c r="E11" s="87">
        <f>('2 полугодие'!E48+'по статьям 1 полугодие'!E11)/2</f>
        <v>-0.2021988501524773</v>
      </c>
      <c r="F11" s="87"/>
      <c r="G11" s="87">
        <v>2.85</v>
      </c>
      <c r="H11" s="87" t="e">
        <f t="shared" si="1"/>
        <v>#REF!</v>
      </c>
      <c r="I11" s="87">
        <v>0.26</v>
      </c>
      <c r="J11" s="87">
        <v>1.03</v>
      </c>
      <c r="K11" s="87">
        <v>0.78</v>
      </c>
      <c r="L11" s="87">
        <v>0.58</v>
      </c>
      <c r="M11" s="87">
        <v>0.39</v>
      </c>
      <c r="N11" s="109">
        <v>11.92</v>
      </c>
      <c r="O11" s="5">
        <v>3.56</v>
      </c>
      <c r="P11" s="196">
        <f t="shared" si="2"/>
        <v>15.48</v>
      </c>
      <c r="Q11" s="13" t="e">
        <f t="shared" si="3"/>
        <v>#REF!</v>
      </c>
      <c r="R11" s="13">
        <f>('2 полугодие'!P11+'по статьям 1 полугодие'!P11)</f>
        <v>-3156.57</v>
      </c>
      <c r="S11" s="13">
        <f>'2 полугодие'!Q11+'по статьям 1 полугодие'!Q11</f>
        <v>0</v>
      </c>
      <c r="T11" s="13">
        <f>'2 полугодие'!R11+'по статьям 1 полугодие'!R11</f>
        <v>23841.61128038278</v>
      </c>
      <c r="U11" s="13" t="e">
        <f t="shared" si="4"/>
        <v>#REF!</v>
      </c>
      <c r="V11" s="13" t="e">
        <f>'2 полугодие'!#REF!+'по статьям 1 полугодие'!#REF!</f>
        <v>#REF!</v>
      </c>
      <c r="W11" s="13">
        <f>'2 полугодие'!S11+'по статьям 1 полугодие'!S11</f>
        <v>7377.932566507177</v>
      </c>
      <c r="X11" s="13">
        <f>'2 полугодие'!T11+'по статьям 1 полугодие'!T11</f>
        <v>5328.506853588517</v>
      </c>
      <c r="Y11" s="13">
        <f>'2 полугодие'!U11+'по статьям 1 полугодие'!U11</f>
        <v>5055.226816267943</v>
      </c>
      <c r="Z11" s="13">
        <f>'2 полугодие'!V11+'по статьям 1 полугодие'!V11</f>
        <v>2664.2534267942583</v>
      </c>
      <c r="AA11" s="13">
        <f>'2 полугодие'!W11+'по статьям 1 полугодие'!W11</f>
        <v>87339.64860000001</v>
      </c>
      <c r="AB11" s="15">
        <f>'2 полугодие'!X11+'по статьям 1 полугодие'!X11</f>
        <v>25617.975</v>
      </c>
      <c r="AC11" s="15">
        <f t="shared" si="5"/>
        <v>112957.62360000002</v>
      </c>
      <c r="AD11" s="13" t="e">
        <f t="shared" si="6"/>
        <v>#REF!</v>
      </c>
      <c r="AE11" s="13">
        <f t="shared" si="7"/>
        <v>-3156.57</v>
      </c>
      <c r="AF11" s="13">
        <f>'2 полугодие'!AB11+'по статьям 1 полугодие'!AB11</f>
        <v>0</v>
      </c>
      <c r="AG11" s="13">
        <f>'2 полугодие'!AC11+'по статьям 1 полугодие'!AC11</f>
        <v>24098.72236944311</v>
      </c>
      <c r="AH11" s="13" t="e">
        <f t="shared" si="8"/>
        <v>#REF!</v>
      </c>
      <c r="AI11" s="13" t="e">
        <f>'2 полугодие'!#REF!+'по статьям 1 полугодие'!#REF!</f>
        <v>#REF!</v>
      </c>
      <c r="AJ11" s="13">
        <f>'2 полугодие'!AD11+'по статьям 1 полугодие'!AD11</f>
        <v>7425.627891174949</v>
      </c>
      <c r="AK11" s="13">
        <f>'2 полугодие'!AE11+'по статьям 1 полугодие'!AE11</f>
        <v>5362.953476959685</v>
      </c>
      <c r="AL11" s="13">
        <f>'2 полугодие'!AF11+'по статьям 1 полугодие'!AF11</f>
        <v>5146.11559388774</v>
      </c>
      <c r="AM11" s="13">
        <f>'2 полугодие'!AG11+'по статьям 1 полугодие'!AG11</f>
        <v>2681.4767384798424</v>
      </c>
      <c r="AN11" s="16">
        <f>'2 полугодие'!AH11+'по статьям 1 полугодие'!AH11</f>
        <v>88013.965</v>
      </c>
      <c r="AO11" s="4">
        <f>'2 полугодие'!AI11+'по статьям 1 полугодие'!AI11</f>
        <v>24862.565</v>
      </c>
      <c r="AP11" s="15">
        <f t="shared" si="9"/>
        <v>112876.53</v>
      </c>
      <c r="AQ11" s="13">
        <f>'2 полугодие'!AK11+'по статьям 1 полугодие'!AK11</f>
        <v>69786.5</v>
      </c>
      <c r="AR11" s="13">
        <f t="shared" si="10"/>
        <v>-3156.57</v>
      </c>
      <c r="AS11" s="13">
        <f>'2 полугодие'!AM11+'по статьям 1 полугодие'!AM11</f>
        <v>0</v>
      </c>
      <c r="AT11" s="13">
        <f>'2 полугодие'!AN11+'по статьям 1 полугодие'!AN11</f>
        <v>22706.296457507404</v>
      </c>
      <c r="AU11" s="13" t="e">
        <f>'2 полугодие'!#REF!+'по статьям 1 полугодие'!#REF!</f>
        <v>#REF!</v>
      </c>
      <c r="AV11" s="13" t="e">
        <f>'2 полугодие'!#REF!+'по статьям 1 полугодие'!#REF!</f>
        <v>#REF!</v>
      </c>
      <c r="AW11" s="13">
        <f>'2 полугодие'!AO11+'по статьям 1 полугодие'!AO11</f>
        <v>7026.60244429255</v>
      </c>
      <c r="AX11" s="13">
        <f>'2 полугодие'!AP11+'по статьям 1 полугодие'!AP11</f>
        <v>5074.768431989063</v>
      </c>
      <c r="AY11" s="13">
        <f>'2 полугодие'!AQ11+'по статьям 1 полугодие'!AQ11</f>
        <v>4814.501729778993</v>
      </c>
      <c r="AZ11" s="13">
        <f>'2 полугодие'!AR11+'по статьям 1 полугодие'!AR11</f>
        <v>2537.3842159945316</v>
      </c>
      <c r="BA11" s="22" t="e">
        <f t="shared" si="11"/>
        <v>#REF!</v>
      </c>
      <c r="BB11" s="15">
        <f>'2 полугодие'!AT11+'по статьям 1 полугодие'!AT11</f>
        <v>25008.00357142857</v>
      </c>
      <c r="BC11" s="15" t="e">
        <f t="shared" si="12"/>
        <v>#REF!</v>
      </c>
      <c r="BD11" s="9" t="s">
        <v>14</v>
      </c>
    </row>
    <row r="12" spans="1:56" s="186" customFormat="1" ht="15">
      <c r="A12" s="177">
        <v>7</v>
      </c>
      <c r="B12" s="178" t="s">
        <v>15</v>
      </c>
      <c r="C12" s="128">
        <v>571.96</v>
      </c>
      <c r="D12" s="179" t="e">
        <f t="shared" si="0"/>
        <v>#REF!</v>
      </c>
      <c r="E12" s="179">
        <f>('2 полугодие'!E49+'по статьям 1 полугодие'!E12)/2</f>
        <v>0.2279845327179057</v>
      </c>
      <c r="F12" s="179"/>
      <c r="G12" s="179">
        <v>2.85</v>
      </c>
      <c r="H12" s="179" t="e">
        <f t="shared" si="1"/>
        <v>#REF!</v>
      </c>
      <c r="I12" s="179">
        <v>0.26</v>
      </c>
      <c r="J12" s="179">
        <v>1.03</v>
      </c>
      <c r="K12" s="179">
        <v>0.78</v>
      </c>
      <c r="L12" s="179">
        <v>0.58</v>
      </c>
      <c r="M12" s="179">
        <v>0.39</v>
      </c>
      <c r="N12" s="180">
        <v>10.26</v>
      </c>
      <c r="O12" s="205">
        <v>3.56</v>
      </c>
      <c r="P12" s="206">
        <f t="shared" si="2"/>
        <v>13.82</v>
      </c>
      <c r="Q12" s="181" t="e">
        <f t="shared" si="3"/>
        <v>#REF!</v>
      </c>
      <c r="R12" s="181">
        <f>('2 полугодие'!P12+'по статьям 1 полугодие'!P12)</f>
        <v>426.85</v>
      </c>
      <c r="S12" s="181">
        <f>'2 полугодие'!Q12+'по статьям 1 полугодие'!Q12</f>
        <v>0</v>
      </c>
      <c r="T12" s="181">
        <f>'2 полугодие'!R12+'по статьям 1 полугодие'!R12</f>
        <v>23436.875908133974</v>
      </c>
      <c r="U12" s="181" t="e">
        <f t="shared" si="4"/>
        <v>#REF!</v>
      </c>
      <c r="V12" s="181" t="e">
        <f>'2 полугодие'!#REF!+'по статьям 1 полугодие'!#REF!</f>
        <v>#REF!</v>
      </c>
      <c r="W12" s="181">
        <f>'2 полугодие'!S12+'по статьям 1 полугодие'!S12</f>
        <v>7241.388838277513</v>
      </c>
      <c r="X12" s="181">
        <f>'2 полугодие'!T12+'по статьям 1 полугодие'!T12</f>
        <v>5229.891938755982</v>
      </c>
      <c r="Y12" s="181">
        <f>'2 полугодие'!U12+'по статьям 1 полугодие'!U12</f>
        <v>4982.301295693781</v>
      </c>
      <c r="Z12" s="181">
        <f>'2 полугодие'!V12+'по статьям 1 полугодие'!V12</f>
        <v>2614.945969377991</v>
      </c>
      <c r="AA12" s="181">
        <f>'2 полугодие'!W12+'по статьям 1 полугодие'!W12</f>
        <v>85762.13280000002</v>
      </c>
      <c r="AB12" s="182">
        <f>'2 полугодие'!X12+'по статьям 1 полугодие'!X12</f>
        <v>25739.08</v>
      </c>
      <c r="AC12" s="182">
        <f t="shared" si="5"/>
        <v>111501.21280000002</v>
      </c>
      <c r="AD12" s="181" t="e">
        <f t="shared" si="6"/>
        <v>#REF!</v>
      </c>
      <c r="AE12" s="181">
        <f t="shared" si="7"/>
        <v>426.85</v>
      </c>
      <c r="AF12" s="181">
        <f>'2 полугодие'!AB12+'по статьям 1 полугодие'!AB12</f>
        <v>0</v>
      </c>
      <c r="AG12" s="181">
        <f>'2 полугодие'!AC12+'по статьям 1 полугодие'!AC12</f>
        <v>23638.65854377274</v>
      </c>
      <c r="AH12" s="181" t="e">
        <f t="shared" si="8"/>
        <v>#REF!</v>
      </c>
      <c r="AI12" s="181" t="e">
        <f>'2 полугодие'!#REF!+'по статьям 1 полугодие'!#REF!</f>
        <v>#REF!</v>
      </c>
      <c r="AJ12" s="181">
        <f>'2 полугодие'!AD12+'по статьям 1 полугодие'!AD12</f>
        <v>7285.217630936337</v>
      </c>
      <c r="AK12" s="181">
        <f>'2 полугодие'!AE12+'по статьям 1 полугодие'!AE12</f>
        <v>5261.546066787354</v>
      </c>
      <c r="AL12" s="181">
        <f>'2 полугодие'!AF12+'по статьям 1 полугодие'!AF12</f>
        <v>5046.330358998556</v>
      </c>
      <c r="AM12" s="181">
        <f>'2 полугодие'!AG12+'по статьям 1 полугодие'!AG12</f>
        <v>2630.773033393677</v>
      </c>
      <c r="AN12" s="183">
        <f>'2 полугодие'!AH12+'по статьям 1 полугодие'!AH12</f>
        <v>86345.04999999999</v>
      </c>
      <c r="AO12" s="184">
        <f>'2 полугодие'!AI12+'по статьям 1 полугодие'!AI12</f>
        <v>25521.050000000003</v>
      </c>
      <c r="AP12" s="182">
        <f t="shared" si="9"/>
        <v>111866.09999999999</v>
      </c>
      <c r="AQ12" s="181">
        <f>'2 полугодие'!AK12+'по статьям 1 полугодие'!AK12</f>
        <v>26136</v>
      </c>
      <c r="AR12" s="181">
        <f t="shared" si="10"/>
        <v>426.85</v>
      </c>
      <c r="AS12" s="181">
        <f>'2 полугодие'!AM12+'по статьям 1 полугодие'!AM12</f>
        <v>0</v>
      </c>
      <c r="AT12" s="181">
        <f>'2 полугодие'!AN12+'по статьям 1 полугодие'!AN12</f>
        <v>22320.834198222834</v>
      </c>
      <c r="AU12" s="181" t="e">
        <f>'2 полугодие'!#REF!+'по статьям 1 полугодие'!#REF!</f>
        <v>#REF!</v>
      </c>
      <c r="AV12" s="181" t="e">
        <f>'2 полугодие'!#REF!+'по статьям 1 полугодие'!#REF!</f>
        <v>#REF!</v>
      </c>
      <c r="AW12" s="181">
        <f>'2 полугодие'!AO12+'по статьям 1 полугодие'!AO12</f>
        <v>6896.560798359536</v>
      </c>
      <c r="AX12" s="181">
        <f>'2 полугодие'!AP12+'по статьям 1 полугодие'!AP12</f>
        <v>4980.849465481888</v>
      </c>
      <c r="AY12" s="181">
        <f>'2 полугодие'!AQ12+'по статьям 1 полугодие'!AQ12</f>
        <v>4745.048853041696</v>
      </c>
      <c r="AZ12" s="181">
        <f>'2 полугодие'!AR12+'по статьям 1 полугодие'!AR12</f>
        <v>2490.424732740944</v>
      </c>
      <c r="BA12" s="185" t="e">
        <f t="shared" si="11"/>
        <v>#REF!</v>
      </c>
      <c r="BB12" s="182">
        <f>'2 полугодие'!AT12+'по статьям 1 полугодие'!AT12</f>
        <v>25126.22380952381</v>
      </c>
      <c r="BC12" s="182" t="e">
        <f t="shared" si="12"/>
        <v>#REF!</v>
      </c>
      <c r="BD12" s="178" t="s">
        <v>15</v>
      </c>
    </row>
    <row r="13" spans="1:56" ht="15">
      <c r="A13" s="26">
        <v>8</v>
      </c>
      <c r="B13" s="9" t="s">
        <v>16</v>
      </c>
      <c r="C13" s="11">
        <v>295.42</v>
      </c>
      <c r="D13" s="87" t="e">
        <f t="shared" si="0"/>
        <v>#REF!</v>
      </c>
      <c r="E13" s="87">
        <f>('2 полугодие'!E50+'по статьям 1 полугодие'!E13)/2</f>
        <v>0.195</v>
      </c>
      <c r="F13" s="87"/>
      <c r="G13" s="87">
        <v>2.85</v>
      </c>
      <c r="H13" s="87" t="e">
        <f t="shared" si="1"/>
        <v>#REF!</v>
      </c>
      <c r="I13" s="87">
        <v>0.26</v>
      </c>
      <c r="J13" s="87">
        <v>1.03</v>
      </c>
      <c r="K13" s="87">
        <v>0.78</v>
      </c>
      <c r="L13" s="87">
        <v>0.58</v>
      </c>
      <c r="M13" s="87">
        <v>0.39</v>
      </c>
      <c r="N13" s="109">
        <v>11.92</v>
      </c>
      <c r="O13" s="5">
        <v>3.56</v>
      </c>
      <c r="P13" s="196">
        <f t="shared" si="2"/>
        <v>15.48</v>
      </c>
      <c r="Q13" s="13" t="e">
        <f t="shared" si="3"/>
        <v>#REF!</v>
      </c>
      <c r="R13" s="13">
        <f>('2 полугодие'!P13+'по статьям 1 полугодие'!P13)</f>
        <v>0</v>
      </c>
      <c r="S13" s="13">
        <f>'2 полугодие'!Q13+'по статьям 1 полугодие'!Q13</f>
        <v>0</v>
      </c>
      <c r="T13" s="13">
        <f>'2 полугодие'!R13+'по статьям 1 полугодие'!R13</f>
        <v>12372.19459138756</v>
      </c>
      <c r="U13" s="13" t="e">
        <f t="shared" si="4"/>
        <v>#REF!</v>
      </c>
      <c r="V13" s="13" t="e">
        <f>'2 полугодие'!#REF!+'по статьям 1 полугодие'!#REF!</f>
        <v>#REF!</v>
      </c>
      <c r="W13" s="13">
        <f>'2 полугодие'!S13+'по статьям 1 полугодие'!S13</f>
        <v>3828.6448535885174</v>
      </c>
      <c r="X13" s="13">
        <f>'2 полугодие'!T13+'по статьям 1 полугодие'!T13</f>
        <v>2765.132394258373</v>
      </c>
      <c r="Y13" s="13">
        <f>'2 полугодие'!U13+'по статьям 1 полугодие'!U13</f>
        <v>2623.330533971292</v>
      </c>
      <c r="Z13" s="13">
        <f>'2 полугодие'!V13+'по статьям 1 полугодие'!V13</f>
        <v>1382.5661971291865</v>
      </c>
      <c r="AA13" s="13">
        <f>'2 полугодие'!W13+'по статьям 1 полугодие'!W13</f>
        <v>45323.3556</v>
      </c>
      <c r="AB13" s="15">
        <f>'2 полугодие'!X13+'по статьям 1 полугодие'!X13</f>
        <v>13293.93</v>
      </c>
      <c r="AC13" s="15">
        <f t="shared" si="5"/>
        <v>58617.2856</v>
      </c>
      <c r="AD13" s="13" t="e">
        <f t="shared" si="6"/>
        <v>#REF!</v>
      </c>
      <c r="AE13" s="13">
        <f t="shared" si="7"/>
        <v>0</v>
      </c>
      <c r="AF13" s="13">
        <f>'2 полугодие'!AB13+'по статьям 1 полугодие'!AB13</f>
        <v>0</v>
      </c>
      <c r="AG13" s="13">
        <f>'2 полугодие'!AC13+'по статьям 1 полугодие'!AC13</f>
        <v>8969.588779726822</v>
      </c>
      <c r="AH13" s="13" t="e">
        <f t="shared" si="8"/>
        <v>#REF!</v>
      </c>
      <c r="AI13" s="13" t="e">
        <f>'2 полугодие'!#REF!+'по статьям 1 полугодие'!#REF!</f>
        <v>#REF!</v>
      </c>
      <c r="AJ13" s="13">
        <f>'2 полугодие'!AD13+'по статьям 1 полугодие'!AD13</f>
        <v>2784.3714068013824</v>
      </c>
      <c r="AK13" s="13">
        <f>'2 полугодие'!AE13+'по статьям 1 полугодие'!AE13</f>
        <v>2010.9349049121095</v>
      </c>
      <c r="AL13" s="13">
        <f>'2 полугодие'!AF13+'по статьям 1 полугодие'!AF13</f>
        <v>1891.952378604888</v>
      </c>
      <c r="AM13" s="13">
        <f>'2 полугодие'!AG13+'по статьям 1 полугодие'!AG13</f>
        <v>1005.4674524560547</v>
      </c>
      <c r="AN13" s="16">
        <f>'2 полугодие'!AH13+'по статьям 1 полугодие'!AH13</f>
        <v>32931.4</v>
      </c>
      <c r="AO13" s="4">
        <f>'2 полугодие'!AI13+'по статьям 1 полугодие'!AI13</f>
        <v>11748.760000000002</v>
      </c>
      <c r="AP13" s="15">
        <f t="shared" si="9"/>
        <v>44680.16</v>
      </c>
      <c r="AQ13" s="13">
        <f>'2 полугодие'!AK13+'по статьям 1 полугодие'!AK13</f>
        <v>15415.9</v>
      </c>
      <c r="AR13" s="13">
        <f t="shared" si="10"/>
        <v>0</v>
      </c>
      <c r="AS13" s="13">
        <f>'2 полугодие'!AM13+'по статьям 1 полугодие'!AM13</f>
        <v>0</v>
      </c>
      <c r="AT13" s="13">
        <f>'2 полугодие'!AN13+'по статьям 1 полугодие'!AN13</f>
        <v>11783.04246798815</v>
      </c>
      <c r="AU13" s="13" t="e">
        <f>'2 полугодие'!#REF!+'по статьям 1 полугодие'!#REF!</f>
        <v>#REF!</v>
      </c>
      <c r="AV13" s="13" t="e">
        <f>'2 полугодие'!#REF!+'по статьям 1 полугодие'!#REF!</f>
        <v>#REF!</v>
      </c>
      <c r="AW13" s="13">
        <f>'2 полугодие'!AO13+'по статьям 1 полугодие'!AO13</f>
        <v>3646.328431989064</v>
      </c>
      <c r="AX13" s="13">
        <f>'2 полугодие'!AP13+'по статьям 1 полугодие'!AP13</f>
        <v>2633.4594231032124</v>
      </c>
      <c r="AY13" s="13">
        <f>'2 полугодие'!AQ13+'по статьям 1 полугодие'!AQ13</f>
        <v>2498.4100323536113</v>
      </c>
      <c r="AZ13" s="13">
        <f>'2 полугодие'!AR13+'по статьям 1 полугодие'!AR13</f>
        <v>1316.7297115516062</v>
      </c>
      <c r="BA13" s="22" t="e">
        <f t="shared" si="11"/>
        <v>#REF!</v>
      </c>
      <c r="BB13" s="15">
        <f>'2 полугодие'!AT13+'по статьям 1 полугодие'!AT13</f>
        <v>12977.407142857144</v>
      </c>
      <c r="BC13" s="15" t="e">
        <f t="shared" si="12"/>
        <v>#REF!</v>
      </c>
      <c r="BD13" s="9" t="s">
        <v>16</v>
      </c>
    </row>
    <row r="14" spans="1:56" ht="15">
      <c r="A14" s="26">
        <v>9</v>
      </c>
      <c r="B14" s="9" t="s">
        <v>17</v>
      </c>
      <c r="C14" s="11">
        <v>724.96</v>
      </c>
      <c r="D14" s="87" t="e">
        <f t="shared" si="0"/>
        <v>#REF!</v>
      </c>
      <c r="E14" s="87">
        <f>('2 полугодие'!E51+'по статьям 1 полугодие'!E14)/2</f>
        <v>0.8505384664901052</v>
      </c>
      <c r="F14" s="87"/>
      <c r="G14" s="87">
        <v>2.85</v>
      </c>
      <c r="H14" s="87" t="e">
        <f t="shared" si="1"/>
        <v>#REF!</v>
      </c>
      <c r="I14" s="87">
        <v>0.26</v>
      </c>
      <c r="J14" s="87">
        <v>1.03</v>
      </c>
      <c r="K14" s="87">
        <v>0.78</v>
      </c>
      <c r="L14" s="87">
        <v>0.58</v>
      </c>
      <c r="M14" s="87">
        <v>0.39</v>
      </c>
      <c r="N14" s="109">
        <v>11.92</v>
      </c>
      <c r="O14" s="5">
        <v>3.56</v>
      </c>
      <c r="P14" s="196">
        <f t="shared" si="2"/>
        <v>15.48</v>
      </c>
      <c r="Q14" s="13" t="e">
        <f t="shared" si="3"/>
        <v>#REF!</v>
      </c>
      <c r="R14" s="13">
        <f>('2 полугодие'!P14+'по статьям 1 полугодие'!P14)</f>
        <v>11821.42</v>
      </c>
      <c r="S14" s="13">
        <f>'2 полугодие'!Q14+'по статьям 1 полугодие'!Q14</f>
        <v>0</v>
      </c>
      <c r="T14" s="13">
        <f>'2 полугодие'!R14+'по статьям 1 полугодие'!R14</f>
        <v>30360.54739138756</v>
      </c>
      <c r="U14" s="13" t="e">
        <f t="shared" si="4"/>
        <v>#REF!</v>
      </c>
      <c r="V14" s="13" t="e">
        <f>'2 полугодие'!#REF!+'по статьям 1 полугодие'!#REF!</f>
        <v>#REF!</v>
      </c>
      <c r="W14" s="13">
        <f>'2 полугодие'!S14+'по статьям 1 полугодие'!S14</f>
        <v>9395.224053588518</v>
      </c>
      <c r="X14" s="13">
        <f>'2 полугодие'!T14+'по статьям 1 полугодие'!T14</f>
        <v>6785.439594258374</v>
      </c>
      <c r="Y14" s="13">
        <f>'2 полугодие'!U14+'по статьям 1 полугодие'!U14</f>
        <v>6437.499333971292</v>
      </c>
      <c r="Z14" s="13">
        <f>'2 полугодие'!V14+'по статьям 1 полугодие'!V14</f>
        <v>3392.719797129187</v>
      </c>
      <c r="AA14" s="13">
        <f>'2 полугодие'!W14+'по статьям 1 полугодие'!W14</f>
        <v>111220.37280000001</v>
      </c>
      <c r="AB14" s="15">
        <f>'2 полугодие'!X14+'по статьям 1 полугодие'!X14</f>
        <v>32622.54</v>
      </c>
      <c r="AC14" s="15">
        <f t="shared" si="5"/>
        <v>143842.91280000002</v>
      </c>
      <c r="AD14" s="13" t="e">
        <f t="shared" si="6"/>
        <v>#REF!</v>
      </c>
      <c r="AE14" s="13">
        <f t="shared" si="7"/>
        <v>11821.42</v>
      </c>
      <c r="AF14" s="13">
        <f>'2 полугодие'!AB14+'по статьям 1 полугодие'!AB14</f>
        <v>0</v>
      </c>
      <c r="AG14" s="13">
        <f>'2 полугодие'!AC14+'по статьям 1 полугодие'!AC14</f>
        <v>26954.52598688341</v>
      </c>
      <c r="AH14" s="13" t="e">
        <f t="shared" si="8"/>
        <v>#REF!</v>
      </c>
      <c r="AI14" s="13" t="e">
        <f>'2 полугодие'!#REF!+'по статьям 1 полугодие'!#REF!</f>
        <v>#REF!</v>
      </c>
      <c r="AJ14" s="13">
        <f>'2 полугодие'!AD14+'по статьям 1 полугодие'!AD14</f>
        <v>8300.67877625061</v>
      </c>
      <c r="AK14" s="13">
        <f>'2 полугодие'!AE14+'по статьям 1 полугодие'!AE14</f>
        <v>5994.9346717365515</v>
      </c>
      <c r="AL14" s="13">
        <f>'2 полугодие'!AF14+'по статьям 1 полугодие'!AF14</f>
        <v>5761.566084908951</v>
      </c>
      <c r="AM14" s="13">
        <f>'2 полугодие'!AG14+'по статьям 1 полугодие'!AG14</f>
        <v>2997.4673358682758</v>
      </c>
      <c r="AN14" s="16">
        <f>'2 полугодие'!AH14+'по статьям 1 полугодие'!AH14</f>
        <v>98402.70999999999</v>
      </c>
      <c r="AO14" s="4">
        <f>'2 полугодие'!AI14+'по статьям 1 полугодие'!AI14</f>
        <v>28990.29</v>
      </c>
      <c r="AP14" s="15">
        <f t="shared" si="9"/>
        <v>127393</v>
      </c>
      <c r="AQ14" s="13">
        <f>'2 полугодие'!AK14+'по статьям 1 полугодие'!AK14</f>
        <v>132046</v>
      </c>
      <c r="AR14" s="13">
        <f t="shared" si="10"/>
        <v>11821.42</v>
      </c>
      <c r="AS14" s="13">
        <f>'2 полугодие'!AM14+'по статьям 1 полугодие'!AM14</f>
        <v>0</v>
      </c>
      <c r="AT14" s="13">
        <f>'2 полугодие'!AN14+'по статьям 1 полугодие'!AN14</f>
        <v>28914.807039416723</v>
      </c>
      <c r="AU14" s="13" t="e">
        <f>'2 полугодие'!#REF!+'по статьям 1 полугодие'!#REF!</f>
        <v>#REF!</v>
      </c>
      <c r="AV14" s="13" t="e">
        <f>'2 полугодие'!#REF!+'по статьям 1 полугодие'!#REF!</f>
        <v>#REF!</v>
      </c>
      <c r="AW14" s="13">
        <f>'2 полугодие'!AO14+'по статьям 1 полугодие'!AO14</f>
        <v>8947.832431989063</v>
      </c>
      <c r="AX14" s="13">
        <f>'2 полугодие'!AP14+'по статьям 1 полугодие'!AP14</f>
        <v>6462.323423103213</v>
      </c>
      <c r="AY14" s="13">
        <f>'2 полугодие'!AQ14+'по статьям 1 полугодие'!AQ14</f>
        <v>6130.951746639325</v>
      </c>
      <c r="AZ14" s="13">
        <f>'2 полугодие'!AR14+'по статьям 1 полугодие'!AR14</f>
        <v>3231.1617115516065</v>
      </c>
      <c r="BA14" s="22" t="e">
        <f t="shared" si="11"/>
        <v>#REF!</v>
      </c>
      <c r="BB14" s="15">
        <f>'2 полугодие'!AT14+'по статьям 1 полугодие'!AT14</f>
        <v>31845.828571428574</v>
      </c>
      <c r="BC14" s="15" t="e">
        <f t="shared" si="12"/>
        <v>#REF!</v>
      </c>
      <c r="BD14" s="9" t="s">
        <v>17</v>
      </c>
    </row>
    <row r="15" spans="1:56" ht="15">
      <c r="A15" s="26">
        <v>10</v>
      </c>
      <c r="B15" s="9" t="s">
        <v>18</v>
      </c>
      <c r="C15" s="11">
        <v>722.5</v>
      </c>
      <c r="D15" s="87" t="e">
        <f t="shared" si="0"/>
        <v>#REF!</v>
      </c>
      <c r="E15" s="87">
        <f>('2 полугодие'!E52+'по статьям 1 полугодие'!E15)/2</f>
        <v>0.9114775086505189</v>
      </c>
      <c r="F15" s="87"/>
      <c r="G15" s="87">
        <v>2.85</v>
      </c>
      <c r="H15" s="87" t="e">
        <f t="shared" si="1"/>
        <v>#REF!</v>
      </c>
      <c r="I15" s="87">
        <v>0.26</v>
      </c>
      <c r="J15" s="87">
        <v>1.03</v>
      </c>
      <c r="K15" s="87">
        <v>0.78</v>
      </c>
      <c r="L15" s="87">
        <v>0.58</v>
      </c>
      <c r="M15" s="87">
        <v>0.39</v>
      </c>
      <c r="N15" s="109">
        <v>11.92</v>
      </c>
      <c r="O15" s="5">
        <v>3.56</v>
      </c>
      <c r="P15" s="196">
        <f t="shared" si="2"/>
        <v>15.48</v>
      </c>
      <c r="Q15" s="13" t="e">
        <f t="shared" si="3"/>
        <v>#REF!</v>
      </c>
      <c r="R15" s="13">
        <f>('2 полугодие'!P15+'по статьям 1 полугодие'!P15)</f>
        <v>10695.91</v>
      </c>
      <c r="S15" s="13">
        <f>'2 полугодие'!Q15+'по статьям 1 полугодие'!Q15</f>
        <v>0</v>
      </c>
      <c r="T15" s="13">
        <f>'2 полугодие'!R15+'по статьям 1 полугодие'!R15</f>
        <v>30250.485358851674</v>
      </c>
      <c r="U15" s="13" t="e">
        <f t="shared" si="4"/>
        <v>#REF!</v>
      </c>
      <c r="V15" s="13" t="e">
        <f>'2 полугодие'!#REF!+'по статьям 1 полугодие'!#REF!</f>
        <v>#REF!</v>
      </c>
      <c r="W15" s="13">
        <f>'2 полугодие'!S15+'по статьям 1 полугодие'!S15</f>
        <v>9361.01110047847</v>
      </c>
      <c r="X15" s="13">
        <f>'2 полугодие'!T15+'по статьям 1 полугодие'!T15</f>
        <v>6760.73023923445</v>
      </c>
      <c r="Y15" s="13">
        <f>'2 полугодие'!U15+'по статьям 1 полугодие'!U15</f>
        <v>6414.337751196172</v>
      </c>
      <c r="Z15" s="13">
        <f>'2 полугодие'!V15+'по статьям 1 полугодие'!V15</f>
        <v>3380.365119617225</v>
      </c>
      <c r="AA15" s="13">
        <f>'2 полугодие'!W15+'по статьям 1 полугодие'!W15</f>
        <v>110815.89</v>
      </c>
      <c r="AB15" s="15">
        <f>'2 полугодие'!X15+'по статьям 1 полугодие'!X15</f>
        <v>32503.65</v>
      </c>
      <c r="AC15" s="15">
        <f t="shared" si="5"/>
        <v>143319.54</v>
      </c>
      <c r="AD15" s="13" t="e">
        <f t="shared" si="6"/>
        <v>#REF!</v>
      </c>
      <c r="AE15" s="13">
        <f t="shared" si="7"/>
        <v>10695.91</v>
      </c>
      <c r="AF15" s="13">
        <f>'2 полугодие'!AB15+'по статьям 1 полугодие'!AB15</f>
        <v>0</v>
      </c>
      <c r="AG15" s="13">
        <f>'2 полугодие'!AC15+'по статьям 1 полугодие'!AC15</f>
        <v>31420.490085142737</v>
      </c>
      <c r="AH15" s="13" t="e">
        <f t="shared" si="8"/>
        <v>#REF!</v>
      </c>
      <c r="AI15" s="13" t="e">
        <f>'2 полугодие'!#REF!+'по статьям 1 полугодие'!#REF!</f>
        <v>#REF!</v>
      </c>
      <c r="AJ15" s="13">
        <f>'2 полугодие'!AD15+'по статьям 1 полугодие'!AD15</f>
        <v>9717.829347145162</v>
      </c>
      <c r="AK15" s="13">
        <f>'2 полугодие'!AE15+'по статьям 1 полугодие'!AE15</f>
        <v>7018.432306271505</v>
      </c>
      <c r="AL15" s="13">
        <f>'2 полугодие'!AF15+'по статьям 1 полугодие'!AF15</f>
        <v>6668.406554099789</v>
      </c>
      <c r="AM15" s="13">
        <f>'2 полугодие'!AG15+'по статьям 1 полугодие'!AG15</f>
        <v>3509.2161531357524</v>
      </c>
      <c r="AN15" s="16">
        <f>'2 полугодие'!AH15+'по статьям 1 полугодие'!AH15</f>
        <v>115057.95000000001</v>
      </c>
      <c r="AO15" s="4">
        <f>'2 полугодие'!AI15+'по статьям 1 полугодие'!AI15</f>
        <v>31057.73</v>
      </c>
      <c r="AP15" s="15">
        <f t="shared" si="9"/>
        <v>146115.68000000002</v>
      </c>
      <c r="AQ15" s="13">
        <f>'2 полугодие'!AK15+'по статьям 1 полугодие'!AK15</f>
        <v>9807.5</v>
      </c>
      <c r="AR15" s="13">
        <f t="shared" si="10"/>
        <v>10695.91</v>
      </c>
      <c r="AS15" s="13">
        <f>'2 полугодие'!AM15+'по статьям 1 полугодие'!AM15</f>
        <v>0</v>
      </c>
      <c r="AT15" s="13">
        <f>'2 полугодие'!AN15+'по статьям 1 полугодие'!AN15</f>
        <v>28809.986056049212</v>
      </c>
      <c r="AU15" s="13" t="e">
        <f>'2 полугодие'!#REF!+'по статьям 1 полугодие'!#REF!</f>
        <v>#REF!</v>
      </c>
      <c r="AV15" s="13" t="e">
        <f>'2 полугодие'!#REF!+'по статьям 1 полугодие'!#REF!</f>
        <v>#REF!</v>
      </c>
      <c r="AW15" s="13">
        <f>'2 полугодие'!AO15+'по статьям 1 полугодие'!AO15</f>
        <v>8915.248667122352</v>
      </c>
      <c r="AX15" s="13">
        <f>'2 полугодие'!AP15+'по статьям 1 полугодие'!AP15</f>
        <v>6438.790704032809</v>
      </c>
      <c r="AY15" s="13">
        <f>'2 полугодие'!AQ15+'по статьям 1 полугодие'!AQ15</f>
        <v>6108.893096377307</v>
      </c>
      <c r="AZ15" s="13">
        <f>'2 полугодие'!AR15+'по статьям 1 полугодие'!AR15</f>
        <v>3219.3953520164046</v>
      </c>
      <c r="BA15" s="22" t="e">
        <f t="shared" si="11"/>
        <v>#REF!</v>
      </c>
      <c r="BB15" s="15">
        <f>'2 полугодие'!AT15+'по статьям 1 полугодие'!AT15</f>
        <v>31729.964285714283</v>
      </c>
      <c r="BC15" s="15" t="e">
        <f t="shared" si="12"/>
        <v>#REF!</v>
      </c>
      <c r="BD15" s="9" t="s">
        <v>18</v>
      </c>
    </row>
    <row r="16" spans="1:56" ht="15">
      <c r="A16" s="26">
        <v>11</v>
      </c>
      <c r="B16" s="9" t="s">
        <v>19</v>
      </c>
      <c r="C16" s="11">
        <v>726.09</v>
      </c>
      <c r="D16" s="87" t="e">
        <f t="shared" si="0"/>
        <v>#REF!</v>
      </c>
      <c r="E16" s="87">
        <f>('2 полугодие'!E53+'по статьям 1 полугодие'!E16)/2</f>
        <v>0.4158162899915988</v>
      </c>
      <c r="F16" s="87"/>
      <c r="G16" s="87">
        <v>2.85</v>
      </c>
      <c r="H16" s="87" t="e">
        <f t="shared" si="1"/>
        <v>#REF!</v>
      </c>
      <c r="I16" s="87">
        <v>0.26</v>
      </c>
      <c r="J16" s="87">
        <v>1.03</v>
      </c>
      <c r="K16" s="87">
        <v>0.78</v>
      </c>
      <c r="L16" s="87">
        <v>0.58</v>
      </c>
      <c r="M16" s="87">
        <v>0.39</v>
      </c>
      <c r="N16" s="109">
        <v>11.92</v>
      </c>
      <c r="O16" s="5">
        <v>3.56</v>
      </c>
      <c r="P16" s="196">
        <f t="shared" si="2"/>
        <v>15.48</v>
      </c>
      <c r="Q16" s="13" t="e">
        <f t="shared" si="3"/>
        <v>#REF!</v>
      </c>
      <c r="R16" s="13">
        <f>('2 полугодие'!P16+'по статьям 1 полугодие'!P16)</f>
        <v>4765.14</v>
      </c>
      <c r="S16" s="13">
        <f>'2 полугодие'!Q16+'по статьям 1 полугодие'!Q16</f>
        <v>0</v>
      </c>
      <c r="T16" s="13">
        <f>'2 полугодие'!R16+'по статьям 1 полугодие'!R16</f>
        <v>30408.635785645936</v>
      </c>
      <c r="U16" s="13" t="e">
        <f t="shared" si="4"/>
        <v>#REF!</v>
      </c>
      <c r="V16" s="13" t="e">
        <f>'2 полугодие'!#REF!+'по статьям 1 полугодие'!#REF!</f>
        <v>#REF!</v>
      </c>
      <c r="W16" s="13">
        <f>'2 полугодие'!S16+'по статьям 1 полугодие'!S16</f>
        <v>9410.121955980863</v>
      </c>
      <c r="X16" s="13">
        <f>'2 полугодие'!T16+'по статьям 1 полугодие'!T16</f>
        <v>6796.199190430622</v>
      </c>
      <c r="Y16" s="13">
        <f>'2 полугодие'!U16+'по статьям 1 полугодие'!U16</f>
        <v>6447.6766899521535</v>
      </c>
      <c r="Z16" s="13">
        <f>'2 полугодие'!V16+'по статьям 1 полугодие'!V16</f>
        <v>3398.099595215311</v>
      </c>
      <c r="AA16" s="13">
        <f>'2 полугодие'!W16+'по статьям 1 полугодие'!W16</f>
        <v>111396.67620000002</v>
      </c>
      <c r="AB16" s="15">
        <f>'2 полугодие'!X16+'по статьям 1 полугодие'!X16</f>
        <v>32674.185</v>
      </c>
      <c r="AC16" s="15">
        <f t="shared" si="5"/>
        <v>144070.8612</v>
      </c>
      <c r="AD16" s="13" t="e">
        <f t="shared" si="6"/>
        <v>#REF!</v>
      </c>
      <c r="AE16" s="13">
        <f t="shared" si="7"/>
        <v>4765.14</v>
      </c>
      <c r="AF16" s="13">
        <f>'2 полугодие'!AB16+'по статьям 1 полугодие'!AB16</f>
        <v>0</v>
      </c>
      <c r="AG16" s="13">
        <f>'2 полугодие'!AC16+'по статьям 1 полугодие'!AC16</f>
        <v>29573.633471806563</v>
      </c>
      <c r="AH16" s="13" t="e">
        <f t="shared" si="8"/>
        <v>#REF!</v>
      </c>
      <c r="AI16" s="13" t="e">
        <f>'2 полугодие'!#REF!+'по статьям 1 полугодие'!#REF!</f>
        <v>#REF!</v>
      </c>
      <c r="AJ16" s="13">
        <f>'2 полугодие'!AD16+'по статьям 1 полугодие'!AD16</f>
        <v>9126.93378152001</v>
      </c>
      <c r="AK16" s="13">
        <f>'2 полугодие'!AE16+'по статьям 1 полугодие'!AE16</f>
        <v>6591.674397764452</v>
      </c>
      <c r="AL16" s="13">
        <f>'2 полугодие'!AF16+'по статьям 1 полугодие'!AF16</f>
        <v>6298.922755155872</v>
      </c>
      <c r="AM16" s="13">
        <f>'2 полугодие'!AG16+'по статьям 1 полугодие'!AG16</f>
        <v>3295.837198882226</v>
      </c>
      <c r="AN16" s="16">
        <f>'2 полугодие'!AH16+'по статьям 1 полугодие'!AH16</f>
        <v>108129.64499999999</v>
      </c>
      <c r="AO16" s="4">
        <f>'2 полугодие'!AI16+'по статьям 1 полугодие'!AI16</f>
        <v>31525.685</v>
      </c>
      <c r="AP16" s="15">
        <f t="shared" si="9"/>
        <v>139655.33</v>
      </c>
      <c r="AQ16" s="13">
        <f>'2 полугодие'!AK16+'по статьям 1 полугодие'!AK16</f>
        <v>159523.8</v>
      </c>
      <c r="AR16" s="13">
        <f t="shared" si="10"/>
        <v>4765.14</v>
      </c>
      <c r="AS16" s="13">
        <f>'2 полугодие'!AM16+'по статьям 1 полугодие'!AM16</f>
        <v>0</v>
      </c>
      <c r="AT16" s="13">
        <f>'2 полугодие'!AN16+'по статьям 1 полугодие'!AN16</f>
        <v>28960.605510138983</v>
      </c>
      <c r="AU16" s="13" t="e">
        <f>'2 полугодие'!#REF!+'по статьям 1 полугодие'!#REF!</f>
        <v>#REF!</v>
      </c>
      <c r="AV16" s="13" t="e">
        <f>'2 полугодие'!#REF!+'по статьям 1 полугодие'!#REF!</f>
        <v>#REF!</v>
      </c>
      <c r="AW16" s="13">
        <f>'2 полугодие'!AO16+'по статьям 1 полугодие'!AO16</f>
        <v>8962.020910457963</v>
      </c>
      <c r="AX16" s="13">
        <f>'2 полугодие'!AP16+'по статьям 1 полугодие'!AP16</f>
        <v>6472.570657552973</v>
      </c>
      <c r="AY16" s="13">
        <f>'2 полугодие'!AQ16+'по статьям 1 полугодие'!AQ16</f>
        <v>6140.644466621098</v>
      </c>
      <c r="AZ16" s="13">
        <f>'2 полугодие'!AR16+'по статьям 1 полугодие'!AR16</f>
        <v>3236.2853287764865</v>
      </c>
      <c r="BA16" s="22" t="e">
        <f t="shared" si="11"/>
        <v>#REF!</v>
      </c>
      <c r="BB16" s="15">
        <f>'2 полугодие'!AT16+'по статьям 1 полугодие'!AT16</f>
        <v>31896.225</v>
      </c>
      <c r="BC16" s="15" t="e">
        <f t="shared" si="12"/>
        <v>#REF!</v>
      </c>
      <c r="BD16" s="9" t="s">
        <v>19</v>
      </c>
    </row>
    <row r="17" spans="1:56" ht="15">
      <c r="A17" s="26">
        <v>12</v>
      </c>
      <c r="B17" s="9" t="s">
        <v>20</v>
      </c>
      <c r="C17" s="11">
        <v>757.94</v>
      </c>
      <c r="D17" s="87" t="e">
        <f t="shared" si="0"/>
        <v>#REF!</v>
      </c>
      <c r="E17" s="87">
        <f>('2 полугодие'!E54+'по статьям 1 полугодие'!E17)/2</f>
        <v>0.3449997789977104</v>
      </c>
      <c r="F17" s="87"/>
      <c r="G17" s="87">
        <v>2.85</v>
      </c>
      <c r="H17" s="87" t="e">
        <f t="shared" si="1"/>
        <v>#REF!</v>
      </c>
      <c r="I17" s="87">
        <v>0.26</v>
      </c>
      <c r="J17" s="87">
        <v>1.03</v>
      </c>
      <c r="K17" s="87">
        <v>0.78</v>
      </c>
      <c r="L17" s="87">
        <v>0.58</v>
      </c>
      <c r="M17" s="87">
        <v>0.39</v>
      </c>
      <c r="N17" s="109">
        <v>11.92</v>
      </c>
      <c r="O17" s="5">
        <v>3.56</v>
      </c>
      <c r="P17" s="196">
        <f t="shared" si="2"/>
        <v>15.48</v>
      </c>
      <c r="Q17" s="13" t="e">
        <f t="shared" si="3"/>
        <v>#REF!</v>
      </c>
      <c r="R17" s="13">
        <f>('2 полугодие'!P17+'по статьям 1 полугодие'!P17)</f>
        <v>3122.1400000000003</v>
      </c>
      <c r="S17" s="13">
        <f>'2 полугодие'!Q17+'по статьям 1 полугодие'!Q17</f>
        <v>0</v>
      </c>
      <c r="T17" s="13">
        <f>'2 полугодие'!R17+'по статьям 1 полугодие'!R17</f>
        <v>31742.499747368427</v>
      </c>
      <c r="U17" s="13" t="e">
        <f t="shared" si="4"/>
        <v>#REF!</v>
      </c>
      <c r="V17" s="13" t="e">
        <f>'2 полугодие'!#REF!+'по статьям 1 полугодие'!#REF!</f>
        <v>#REF!</v>
      </c>
      <c r="W17" s="13">
        <f>'2 полугодие'!S17+'по статьям 1 полугодие'!S17</f>
        <v>9822.893305263158</v>
      </c>
      <c r="X17" s="13">
        <f>'2 полугодие'!T17+'по статьям 1 полугодие'!T17</f>
        <v>7094.311831578949</v>
      </c>
      <c r="Y17" s="13">
        <f>'2 полугодие'!U17+'по статьям 1 полугодие'!U17</f>
        <v>6730.5020631578955</v>
      </c>
      <c r="Z17" s="13">
        <f>'2 полугодие'!V17+'по статьям 1 полугодие'!V17</f>
        <v>3547.1559157894744</v>
      </c>
      <c r="AA17" s="13">
        <f>'2 полугодие'!W17+'по статьям 1 полугодие'!W17</f>
        <v>116283.04920000001</v>
      </c>
      <c r="AB17" s="15">
        <f>'2 полугодие'!X17+'по статьям 1 полугодие'!X17</f>
        <v>34107.45</v>
      </c>
      <c r="AC17" s="15">
        <f t="shared" si="5"/>
        <v>150390.49920000002</v>
      </c>
      <c r="AD17" s="13" t="e">
        <f t="shared" si="6"/>
        <v>#REF!</v>
      </c>
      <c r="AE17" s="13">
        <f t="shared" si="7"/>
        <v>3122.1400000000003</v>
      </c>
      <c r="AF17" s="13">
        <f>'2 полугодие'!AB17+'по статьям 1 полугодие'!AB17</f>
        <v>0</v>
      </c>
      <c r="AG17" s="13">
        <f>'2 полугодие'!AC17+'по статьям 1 полугодие'!AC17</f>
        <v>32288.046649053038</v>
      </c>
      <c r="AH17" s="13" t="e">
        <f t="shared" si="8"/>
        <v>#REF!</v>
      </c>
      <c r="AI17" s="13" t="e">
        <f>'2 полугодие'!#REF!+'по статьям 1 полугодие'!#REF!</f>
        <v>#REF!</v>
      </c>
      <c r="AJ17" s="13">
        <f>'2 полугодие'!AD17+'по статьям 1 полугодие'!AD17</f>
        <v>9919.083212975578</v>
      </c>
      <c r="AK17" s="13">
        <f>'2 полугодие'!AE17+'по статьям 1 полугодие'!AE17</f>
        <v>7163.782320482362</v>
      </c>
      <c r="AL17" s="13">
        <f>'2 полугодие'!AF17+'по статьям 1 полугодие'!AF17</f>
        <v>6929.07269987307</v>
      </c>
      <c r="AM17" s="13">
        <f>'2 полугодие'!AG17+'по статьям 1 полугодие'!AG17</f>
        <v>3581.891160241181</v>
      </c>
      <c r="AN17" s="16">
        <f>'2 полугодие'!AH17+'по статьям 1 полугодие'!AH17</f>
        <v>117671.76000000001</v>
      </c>
      <c r="AO17" s="4">
        <f>'2 полугодие'!AI17+'по статьям 1 полугодие'!AI17</f>
        <v>32110.020000000004</v>
      </c>
      <c r="AP17" s="15">
        <f t="shared" si="9"/>
        <v>149781.78000000003</v>
      </c>
      <c r="AQ17" s="13">
        <f>'2 полугодие'!AK17+'по статьям 1 полугодие'!AK17</f>
        <v>12032.3</v>
      </c>
      <c r="AR17" s="13">
        <f t="shared" si="10"/>
        <v>3122.1400000000003</v>
      </c>
      <c r="AS17" s="13">
        <f>'2 полугодие'!AM17+'по статьям 1 полугодие'!AM17</f>
        <v>0</v>
      </c>
      <c r="AT17" s="13">
        <f>'2 полугодие'!AN17+'по статьям 1 полугодие'!AN17</f>
        <v>30230.95214035088</v>
      </c>
      <c r="AU17" s="13" t="e">
        <f>'2 полугодие'!#REF!+'по статьям 1 полугодие'!#REF!</f>
        <v>#REF!</v>
      </c>
      <c r="AV17" s="13" t="e">
        <f>'2 полугодие'!#REF!+'по статьям 1 полугодие'!#REF!</f>
        <v>#REF!</v>
      </c>
      <c r="AW17" s="13">
        <f>'2 полугодие'!AO17+'по статьям 1 полугодие'!AO17</f>
        <v>9355.136481203008</v>
      </c>
      <c r="AX17" s="13">
        <f>'2 полугодие'!AP17+'по статьям 1 полугодие'!AP17</f>
        <v>6756.487458646618</v>
      </c>
      <c r="AY17" s="13">
        <f>'2 полугодие'!AQ17+'по статьям 1 полугодие'!AQ17</f>
        <v>6410.001964912281</v>
      </c>
      <c r="AZ17" s="13">
        <f>'2 полугодие'!AR17+'по статьям 1 полугодие'!AR17</f>
        <v>3378.243729323309</v>
      </c>
      <c r="BA17" s="22" t="e">
        <f t="shared" si="11"/>
        <v>#REF!</v>
      </c>
      <c r="BB17" s="15">
        <f>'2 полугодие'!AT17+'по статьям 1 полугодие'!AT17</f>
        <v>33295.364285714284</v>
      </c>
      <c r="BC17" s="15" t="e">
        <f t="shared" si="12"/>
        <v>#REF!</v>
      </c>
      <c r="BD17" s="9" t="s">
        <v>20</v>
      </c>
    </row>
    <row r="18" spans="1:56" ht="15">
      <c r="A18" s="26">
        <v>13</v>
      </c>
      <c r="B18" s="9" t="s">
        <v>21</v>
      </c>
      <c r="C18" s="11">
        <v>742.94</v>
      </c>
      <c r="D18" s="87" t="e">
        <f t="shared" si="0"/>
        <v>#REF!</v>
      </c>
      <c r="E18" s="87">
        <f>('2 полугодие'!E55+'по статьям 1 полугодие'!E18)/2</f>
        <v>0.3449997756660475</v>
      </c>
      <c r="F18" s="87"/>
      <c r="G18" s="87">
        <v>2.85</v>
      </c>
      <c r="H18" s="87" t="e">
        <f t="shared" si="1"/>
        <v>#REF!</v>
      </c>
      <c r="I18" s="87">
        <v>0.26</v>
      </c>
      <c r="J18" s="87">
        <v>1.03</v>
      </c>
      <c r="K18" s="87">
        <v>0.78</v>
      </c>
      <c r="L18" s="87">
        <v>0.58</v>
      </c>
      <c r="M18" s="87">
        <v>0.39</v>
      </c>
      <c r="N18" s="109">
        <v>11.92</v>
      </c>
      <c r="O18" s="5">
        <v>3.56</v>
      </c>
      <c r="P18" s="196">
        <f t="shared" si="2"/>
        <v>15.48</v>
      </c>
      <c r="Q18" s="13" t="e">
        <f t="shared" si="3"/>
        <v>#REF!</v>
      </c>
      <c r="R18" s="13">
        <f>('2 полугодие'!P18+'по статьям 1 полугодие'!P18)</f>
        <v>3075.77</v>
      </c>
      <c r="S18" s="13">
        <f>'2 полугодие'!Q18+'по статьям 1 полугодие'!Q18</f>
        <v>0</v>
      </c>
      <c r="T18" s="13">
        <f>'2 полугодие'!R18+'по статьям 1 полугодие'!R18</f>
        <v>31114.33094354067</v>
      </c>
      <c r="U18" s="13" t="e">
        <f t="shared" si="4"/>
        <v>#REF!</v>
      </c>
      <c r="V18" s="13" t="e">
        <f>'2 полугодие'!#REF!+'по статьям 1 полугодие'!#REF!</f>
        <v>#REF!</v>
      </c>
      <c r="W18" s="13">
        <f>'2 полугодие'!S18+'по статьям 1 полугодие'!S18</f>
        <v>9628.50364019139</v>
      </c>
      <c r="X18" s="13">
        <f>'2 полугодие'!T18+'по статьям 1 полугодие'!T18</f>
        <v>6953.91929569378</v>
      </c>
      <c r="Y18" s="13">
        <f>'2 полугодие'!U18+'по статьям 1 полугодие'!U18</f>
        <v>6597.307900478469</v>
      </c>
      <c r="Z18" s="13">
        <f>'2 полугодие'!V18+'по статьям 1 полугодие'!V18</f>
        <v>3476.95964784689</v>
      </c>
      <c r="AA18" s="13">
        <f>'2 полугодие'!W18+'по статьям 1 полугодие'!W18</f>
        <v>113981.86920000002</v>
      </c>
      <c r="AB18" s="15">
        <f>'2 полугодие'!X18+'по статьям 1 полугодие'!X18</f>
        <v>33432.51</v>
      </c>
      <c r="AC18" s="15">
        <f t="shared" si="5"/>
        <v>147414.37920000002</v>
      </c>
      <c r="AD18" s="13" t="e">
        <f t="shared" si="6"/>
        <v>#REF!</v>
      </c>
      <c r="AE18" s="13">
        <f t="shared" si="7"/>
        <v>3075.77</v>
      </c>
      <c r="AF18" s="13">
        <f>'2 полугодие'!AB18+'по статьям 1 полугодие'!AB18</f>
        <v>0</v>
      </c>
      <c r="AG18" s="13">
        <f>'2 полугодие'!AC18+'по статьям 1 полугодие'!AC18</f>
        <v>32962.042564918884</v>
      </c>
      <c r="AH18" s="13" t="e">
        <f t="shared" si="8"/>
        <v>#REF!</v>
      </c>
      <c r="AI18" s="13" t="e">
        <f>'2 полугодие'!#REF!+'по статьям 1 полугодие'!#REF!</f>
        <v>#REF!</v>
      </c>
      <c r="AJ18" s="13">
        <f>'2 полугодие'!AD18+'по статьям 1 полугодие'!AD18</f>
        <v>10195.861656831676</v>
      </c>
      <c r="AK18" s="13">
        <f>'2 полугодие'!AE18+'по статьям 1 полугодие'!AE18</f>
        <v>7363.677863267321</v>
      </c>
      <c r="AL18" s="13">
        <f>'2 полугодие'!AF18+'по статьям 1 полугодие'!AF18</f>
        <v>6994.1384718310455</v>
      </c>
      <c r="AM18" s="13">
        <f>'2 полугодие'!AG18+'по статьям 1 полугодие'!AG18</f>
        <v>3681.8389316336606</v>
      </c>
      <c r="AN18" s="16">
        <f>'2 полугодие'!AH18+'по статьям 1 полугодие'!AH18</f>
        <v>120713.47</v>
      </c>
      <c r="AO18" s="4">
        <f>'2 полугодие'!AI18+'по статьям 1 полугодие'!AI18</f>
        <v>33320.740000000005</v>
      </c>
      <c r="AP18" s="15">
        <f t="shared" si="9"/>
        <v>154034.21000000002</v>
      </c>
      <c r="AQ18" s="13">
        <f>'2 полугодие'!AK18+'по статьям 1 полугодие'!AK18</f>
        <v>6069</v>
      </c>
      <c r="AR18" s="13">
        <f t="shared" si="10"/>
        <v>3075.77</v>
      </c>
      <c r="AS18" s="13">
        <f>'2 полугодие'!AM18+'по статьям 1 полугодие'!AM18</f>
        <v>0</v>
      </c>
      <c r="AT18" s="13">
        <f>'2 полугодие'!AN18+'по статьям 1 полугодие'!AN18</f>
        <v>29632.696136705403</v>
      </c>
      <c r="AU18" s="13" t="e">
        <f>'2 полугодие'!#REF!+'по статьям 1 полугодие'!#REF!</f>
        <v>#REF!</v>
      </c>
      <c r="AV18" s="13" t="e">
        <f>'2 полугодие'!#REF!+'по статьям 1 полугодие'!#REF!</f>
        <v>#REF!</v>
      </c>
      <c r="AW18" s="13">
        <f>'2 полугодие'!AO18+'по статьям 1 полугодие'!AO18</f>
        <v>9170.003466848942</v>
      </c>
      <c r="AX18" s="13">
        <f>'2 полугодие'!AP18+'по статьям 1 полугодие'!AP18</f>
        <v>6622.780281613124</v>
      </c>
      <c r="AY18" s="13">
        <f>'2 полугодие'!AQ18+'по статьям 1 полугодие'!AQ18</f>
        <v>6283.150381408066</v>
      </c>
      <c r="AZ18" s="13">
        <f>'2 полугодие'!AR18+'по статьям 1 полугодие'!AR18</f>
        <v>3311.390140806562</v>
      </c>
      <c r="BA18" s="22" t="e">
        <f t="shared" si="11"/>
        <v>#REF!</v>
      </c>
      <c r="BB18" s="15">
        <f>'2 полугодие'!AT18+'по статьям 1 полугодие'!AT18</f>
        <v>32636.49285714286</v>
      </c>
      <c r="BC18" s="15" t="e">
        <f t="shared" si="12"/>
        <v>#REF!</v>
      </c>
      <c r="BD18" s="9" t="s">
        <v>21</v>
      </c>
    </row>
    <row r="19" spans="1:56" ht="15">
      <c r="A19" s="26">
        <v>14</v>
      </c>
      <c r="B19" s="9" t="s">
        <v>22</v>
      </c>
      <c r="C19" s="11">
        <v>731.9</v>
      </c>
      <c r="D19" s="87" t="e">
        <f t="shared" si="0"/>
        <v>#REF!</v>
      </c>
      <c r="E19" s="87">
        <f>('2 полугодие'!E56+'по статьям 1 полугодие'!E19)/2</f>
        <v>0.345</v>
      </c>
      <c r="F19" s="87"/>
      <c r="G19" s="87">
        <v>2.85</v>
      </c>
      <c r="H19" s="87" t="e">
        <f t="shared" si="1"/>
        <v>#REF!</v>
      </c>
      <c r="I19" s="87">
        <v>0.26</v>
      </c>
      <c r="J19" s="87">
        <v>1.03</v>
      </c>
      <c r="K19" s="87">
        <v>0.78</v>
      </c>
      <c r="L19" s="87">
        <v>0.58</v>
      </c>
      <c r="M19" s="87">
        <v>0.39</v>
      </c>
      <c r="N19" s="109">
        <v>11.92</v>
      </c>
      <c r="O19" s="5">
        <v>3.56</v>
      </c>
      <c r="P19" s="196">
        <f t="shared" si="2"/>
        <v>15.48</v>
      </c>
      <c r="Q19" s="13" t="e">
        <f t="shared" si="3"/>
        <v>#REF!</v>
      </c>
      <c r="R19" s="13">
        <f>('2 полугодие'!P19+'по статьям 1 полугодие'!P19)</f>
        <v>3030.07</v>
      </c>
      <c r="S19" s="13">
        <f>'2 полугодие'!Q19+'по статьям 1 полугодие'!Q19</f>
        <v>0</v>
      </c>
      <c r="T19" s="13">
        <f>'2 полугодие'!R19+'по статьям 1 полугодие'!R19</f>
        <v>30651.947043062202</v>
      </c>
      <c r="U19" s="13" t="e">
        <f t="shared" si="4"/>
        <v>#REF!</v>
      </c>
      <c r="V19" s="13" t="e">
        <f>'2 полугодие'!#REF!+'по статьям 1 полугодие'!#REF!</f>
        <v>#REF!</v>
      </c>
      <c r="W19" s="13">
        <f>'2 полугодие'!S19+'по статьям 1 полугодие'!S19</f>
        <v>9485.41573205742</v>
      </c>
      <c r="X19" s="13">
        <f>'2 полугодие'!T19+'по статьям 1 полугодие'!T19</f>
        <v>6850.578028708134</v>
      </c>
      <c r="Y19" s="13">
        <f>'2 полугодие'!U19+'по статьям 1 полугодие'!U19</f>
        <v>6499.267330143541</v>
      </c>
      <c r="Z19" s="13">
        <f>'2 полугодие'!V19+'по статьям 1 полугодие'!V19</f>
        <v>3425.289014354067</v>
      </c>
      <c r="AA19" s="13">
        <f>'2 полугодие'!W19+'по статьям 1 полугодие'!W19</f>
        <v>112288.00200000001</v>
      </c>
      <c r="AB19" s="15">
        <f>'2 полугодие'!X19+'по статьям 1 полугодие'!X19</f>
        <v>32935.71</v>
      </c>
      <c r="AC19" s="15">
        <f t="shared" si="5"/>
        <v>145223.712</v>
      </c>
      <c r="AD19" s="13" t="e">
        <f t="shared" si="6"/>
        <v>#REF!</v>
      </c>
      <c r="AE19" s="13">
        <f t="shared" si="7"/>
        <v>3030.07</v>
      </c>
      <c r="AF19" s="13">
        <f>'2 полугодие'!AB19+'по статьям 1 полугодие'!AB19</f>
        <v>0</v>
      </c>
      <c r="AG19" s="13">
        <f>'2 полугодие'!AC19+'по статьям 1 полугодие'!AC19</f>
        <v>30229.632308903143</v>
      </c>
      <c r="AH19" s="13" t="e">
        <f t="shared" si="8"/>
        <v>#REF!</v>
      </c>
      <c r="AI19" s="13" t="e">
        <f>'2 полугодие'!#REF!+'по статьям 1 полугодие'!#REF!</f>
        <v>#REF!</v>
      </c>
      <c r="AJ19" s="13">
        <f>'2 полугодие'!AD19+'по статьям 1 полугодие'!AD19</f>
        <v>9421.900727434298</v>
      </c>
      <c r="AK19" s="13">
        <f>'2 полугодие'!AE19+'по статьям 1 полугодие'!AE19</f>
        <v>6804.7060809247705</v>
      </c>
      <c r="AL19" s="13">
        <f>'2 полугодие'!AF19+'по статьям 1 полугодие'!AF19</f>
        <v>6333.057648721329</v>
      </c>
      <c r="AM19" s="13">
        <f>'2 полугодие'!AG19+'по статьям 1 полугодие'!AG19</f>
        <v>3402.3530404623853</v>
      </c>
      <c r="AN19" s="16">
        <f>'2 полугодие'!AH19+'по статьям 1 полугодие'!AH19</f>
        <v>111304.89000000001</v>
      </c>
      <c r="AO19" s="4">
        <f>'2 полугодие'!AI19+'по статьям 1 полугодие'!AI19</f>
        <v>31911.41</v>
      </c>
      <c r="AP19" s="15">
        <f t="shared" si="9"/>
        <v>143216.30000000002</v>
      </c>
      <c r="AQ19" s="13">
        <f>'2 полугодие'!AK19+'по статьям 1 полугодие'!AK19</f>
        <v>47480.2</v>
      </c>
      <c r="AR19" s="13">
        <f t="shared" si="10"/>
        <v>3030.07</v>
      </c>
      <c r="AS19" s="13">
        <f>'2 полугодие'!AM19+'по статьям 1 полугодие'!AM19</f>
        <v>0</v>
      </c>
      <c r="AT19" s="13">
        <f>'2 полугодие'!AN19+'по статьям 1 полугодие'!AN19</f>
        <v>29192.3305172021</v>
      </c>
      <c r="AU19" s="13" t="e">
        <f>'2 полугодие'!#REF!+'по статьям 1 полугодие'!#REF!</f>
        <v>#REF!</v>
      </c>
      <c r="AV19" s="13" t="e">
        <f>'2 полугодие'!#REF!+'по статьям 1 полугодие'!#REF!</f>
        <v>#REF!</v>
      </c>
      <c r="AW19" s="13">
        <f>'2 полугодие'!AO19+'по статьям 1 полугодие'!AO19</f>
        <v>9033.729268626113</v>
      </c>
      <c r="AX19" s="13">
        <f>'2 полугодие'!AP19+'по статьям 1 полугодие'!AP19</f>
        <v>6524.36002734108</v>
      </c>
      <c r="AY19" s="13">
        <f>'2 полугодие'!AQ19+'по статьям 1 полугодие'!AQ19</f>
        <v>6189.7784096605155</v>
      </c>
      <c r="AZ19" s="13">
        <f>'2 полугодие'!AR19+'по статьям 1 полугодие'!AR19</f>
        <v>3262.18001367054</v>
      </c>
      <c r="BA19" s="22" t="e">
        <f t="shared" si="11"/>
        <v>#REF!</v>
      </c>
      <c r="BB19" s="15">
        <f>'2 полугодие'!AT19+'по статьям 1 полугодие'!AT19</f>
        <v>32151.521428571425</v>
      </c>
      <c r="BC19" s="15" t="e">
        <f t="shared" si="12"/>
        <v>#REF!</v>
      </c>
      <c r="BD19" s="9" t="s">
        <v>22</v>
      </c>
    </row>
    <row r="20" spans="1:56" ht="15">
      <c r="A20" s="26">
        <v>15</v>
      </c>
      <c r="B20" s="9" t="s">
        <v>23</v>
      </c>
      <c r="C20" s="11">
        <v>714.4</v>
      </c>
      <c r="D20" s="87" t="e">
        <f t="shared" si="0"/>
        <v>#REF!</v>
      </c>
      <c r="E20" s="87">
        <f>('2 полугодие'!E57+'по статьям 1 полугодие'!E20)/2</f>
        <v>0.3450755202506154</v>
      </c>
      <c r="F20" s="87"/>
      <c r="G20" s="87">
        <v>2.85</v>
      </c>
      <c r="H20" s="87" t="e">
        <f t="shared" si="1"/>
        <v>#REF!</v>
      </c>
      <c r="I20" s="87">
        <v>0.26</v>
      </c>
      <c r="J20" s="87">
        <v>1.03</v>
      </c>
      <c r="K20" s="87">
        <v>0.78</v>
      </c>
      <c r="L20" s="87">
        <v>0.58</v>
      </c>
      <c r="M20" s="87">
        <v>0.39</v>
      </c>
      <c r="N20" s="109">
        <v>11.92</v>
      </c>
      <c r="O20" s="5">
        <v>3.56</v>
      </c>
      <c r="P20" s="196">
        <f t="shared" si="2"/>
        <v>15.48</v>
      </c>
      <c r="Q20" s="13" t="e">
        <f t="shared" si="3"/>
        <v>#REF!</v>
      </c>
      <c r="R20" s="13">
        <f>('2 полугодие'!P20+'по статьям 1 полугодие'!P20)</f>
        <v>2961.76</v>
      </c>
      <c r="S20" s="13">
        <f>'2 полугодие'!Q20+'по статьям 1 полугодие'!Q20</f>
        <v>0</v>
      </c>
      <c r="T20" s="13">
        <f>'2 полугодие'!R20+'по статьям 1 полугодие'!R20</f>
        <v>29932.804555023922</v>
      </c>
      <c r="U20" s="13" t="e">
        <f t="shared" si="4"/>
        <v>#REF!</v>
      </c>
      <c r="V20" s="13" t="e">
        <f>'2 полугодие'!#REF!+'по статьям 1 полугодие'!#REF!</f>
        <v>#REF!</v>
      </c>
      <c r="W20" s="13">
        <f>'2 полугодие'!S20+'по статьям 1 полугодие'!S20</f>
        <v>9263.173435406698</v>
      </c>
      <c r="X20" s="13">
        <f>'2 полугодие'!T20+'по статьям 1 полугодие'!T20</f>
        <v>6690.0697033492825</v>
      </c>
      <c r="Y20" s="13">
        <f>'2 полугодие'!U20+'по статьям 1 полугодие'!U20</f>
        <v>6346.4415885167455</v>
      </c>
      <c r="Z20" s="13">
        <f>'2 полугодие'!V20+'по статьям 1 полугодие'!V20</f>
        <v>3345.0348516746412</v>
      </c>
      <c r="AA20" s="13">
        <f>'2 полугодие'!W20+'по статьям 1 полугодие'!W20</f>
        <v>109656.072</v>
      </c>
      <c r="AB20" s="15">
        <f>'2 полугодие'!X20+'по статьям 1 полугодие'!X20</f>
        <v>32164.02</v>
      </c>
      <c r="AC20" s="15">
        <f t="shared" si="5"/>
        <v>141820.092</v>
      </c>
      <c r="AD20" s="13" t="e">
        <f t="shared" si="6"/>
        <v>#REF!</v>
      </c>
      <c r="AE20" s="13">
        <f t="shared" si="7"/>
        <v>2961.76</v>
      </c>
      <c r="AF20" s="13">
        <f>'2 полугодие'!AB20+'по статьям 1 полугодие'!AB20</f>
        <v>0</v>
      </c>
      <c r="AG20" s="13">
        <f>'2 полугодие'!AC20+'по статьям 1 полугодие'!AC20</f>
        <v>28787.445046702433</v>
      </c>
      <c r="AH20" s="13" t="e">
        <f t="shared" si="8"/>
        <v>#REF!</v>
      </c>
      <c r="AI20" s="13" t="e">
        <f>'2 полугодие'!#REF!+'по статьям 1 полугодие'!#REF!</f>
        <v>#REF!</v>
      </c>
      <c r="AJ20" s="13">
        <f>'2 полугодие'!AD20+'по статьям 1 полугодие'!AD20</f>
        <v>8859.049667054682</v>
      </c>
      <c r="AK20" s="13">
        <f>'2 полугодие'!AE20+'по статьям 1 полугодие'!AE20</f>
        <v>6398.202537317269</v>
      </c>
      <c r="AL20" s="13">
        <f>'2 полугодие'!AF20+'по статьям 1 полугодие'!AF20</f>
        <v>6160.2926889976625</v>
      </c>
      <c r="AM20" s="13">
        <f>'2 полугодие'!AG20+'по статьям 1 полугодие'!AG20</f>
        <v>3199.1012686586346</v>
      </c>
      <c r="AN20" s="16">
        <f>'2 полугодие'!AH20+'по статьям 1 полугодие'!AH20</f>
        <v>105043.1</v>
      </c>
      <c r="AO20" s="4">
        <f>'2 полугодие'!AI20+'по статьям 1 полугодие'!AI20</f>
        <v>30001.82</v>
      </c>
      <c r="AP20" s="15">
        <f t="shared" si="9"/>
        <v>135044.92</v>
      </c>
      <c r="AQ20" s="13">
        <f>'2 полугодие'!AK20+'по статьям 1 полугодие'!AK20</f>
        <v>230246.7</v>
      </c>
      <c r="AR20" s="13">
        <f t="shared" si="10"/>
        <v>2961.76</v>
      </c>
      <c r="AS20" s="13">
        <f>'2 полугодие'!AM20+'по статьям 1 полугодие'!AM20</f>
        <v>0</v>
      </c>
      <c r="AT20" s="13">
        <f>'2 полугодие'!AN20+'по статьям 1 полугодие'!AN20</f>
        <v>28507.43290954659</v>
      </c>
      <c r="AU20" s="13" t="e">
        <f>'2 полугодие'!#REF!+'по статьям 1 полугодие'!#REF!</f>
        <v>#REF!</v>
      </c>
      <c r="AV20" s="13" t="e">
        <f>'2 полугодие'!#REF!+'по статьям 1 полугодие'!#REF!</f>
        <v>#REF!</v>
      </c>
      <c r="AW20" s="13">
        <f>'2 полугодие'!AO20+'по статьям 1 полугодие'!AO20</f>
        <v>8822.06993848257</v>
      </c>
      <c r="AX20" s="13">
        <f>'2 полугодие'!AP20+'по статьям 1 полугодие'!AP20</f>
        <v>6371.494955570744</v>
      </c>
      <c r="AY20" s="13">
        <f>'2 полугодие'!AQ20+'по статьям 1 полугодие'!AQ20</f>
        <v>6044.230084301662</v>
      </c>
      <c r="AZ20" s="13">
        <f>'2 полугодие'!AR20+'по статьям 1 полугодие'!AR20</f>
        <v>3185.747477785372</v>
      </c>
      <c r="BA20" s="22" t="e">
        <f t="shared" si="11"/>
        <v>#REF!</v>
      </c>
      <c r="BB20" s="15">
        <f>'2 полугодие'!AT20+'по статьям 1 полугодие'!AT20</f>
        <v>31397.828571428574</v>
      </c>
      <c r="BC20" s="15" t="e">
        <f t="shared" si="12"/>
        <v>#REF!</v>
      </c>
      <c r="BD20" s="9" t="s">
        <v>23</v>
      </c>
    </row>
    <row r="21" spans="1:56" ht="15">
      <c r="A21" s="26">
        <v>16</v>
      </c>
      <c r="B21" s="9" t="s">
        <v>24</v>
      </c>
      <c r="C21" s="11">
        <v>775.3</v>
      </c>
      <c r="D21" s="87" t="e">
        <f t="shared" si="0"/>
        <v>#REF!</v>
      </c>
      <c r="E21" s="87">
        <f>('2 полугодие'!E58+'по статьям 1 полугодие'!E21)/2</f>
        <v>0.3449462573627413</v>
      </c>
      <c r="F21" s="87"/>
      <c r="G21" s="87">
        <v>2.85</v>
      </c>
      <c r="H21" s="87" t="e">
        <f t="shared" si="1"/>
        <v>#REF!</v>
      </c>
      <c r="I21" s="87">
        <v>0.26</v>
      </c>
      <c r="J21" s="87">
        <v>1.03</v>
      </c>
      <c r="K21" s="87">
        <v>0.78</v>
      </c>
      <c r="L21" s="87">
        <v>0.58</v>
      </c>
      <c r="M21" s="87">
        <v>0.39</v>
      </c>
      <c r="N21" s="109">
        <v>11.92</v>
      </c>
      <c r="O21" s="5">
        <v>3.56</v>
      </c>
      <c r="P21" s="196">
        <f t="shared" si="2"/>
        <v>15.48</v>
      </c>
      <c r="Q21" s="13" t="e">
        <f t="shared" si="3"/>
        <v>#REF!</v>
      </c>
      <c r="R21" s="13">
        <f>('2 полугодие'!P21+'по статьям 1 полугодие'!P21)</f>
        <v>3208.59</v>
      </c>
      <c r="S21" s="13">
        <f>'2 полугодие'!Q21+'по статьям 1 полугодие'!Q21</f>
        <v>0</v>
      </c>
      <c r="T21" s="13">
        <f>'2 полугодие'!R21+'по статьям 1 полугодие'!R21</f>
        <v>32402.624293460925</v>
      </c>
      <c r="U21" s="13" t="e">
        <f t="shared" si="4"/>
        <v>#REF!</v>
      </c>
      <c r="V21" s="13" t="e">
        <f>'2 полугодие'!#REF!+'по статьям 1 полугодие'!#REF!</f>
        <v>#REF!</v>
      </c>
      <c r="W21" s="13">
        <f>'2 полугодие'!S21+'по статьям 1 полугодие'!S21</f>
        <v>10025.711655502393</v>
      </c>
      <c r="X21" s="13">
        <f>'2 полугодие'!T21+'по статьям 1 полугодие'!T21</f>
        <v>7240.791751196171</v>
      </c>
      <c r="Y21" s="13">
        <f>'2 полугодие'!U21+'по статьям 1 полугодие'!U21</f>
        <v>6872.138472089313</v>
      </c>
      <c r="Z21" s="13">
        <f>'2 полугодие'!V21+'по статьям 1 полугодие'!V21</f>
        <v>3620.3958755980857</v>
      </c>
      <c r="AA21" s="13">
        <f>'2 полугодие'!W21+'по статьям 1 полугодие'!W21</f>
        <v>118689.034</v>
      </c>
      <c r="AB21" s="15">
        <f>'2 полугодие'!X21+'по статьям 1 полугодие'!X21</f>
        <v>34888.65</v>
      </c>
      <c r="AC21" s="15">
        <f t="shared" si="5"/>
        <v>153577.684</v>
      </c>
      <c r="AD21" s="13" t="e">
        <f t="shared" si="6"/>
        <v>#REF!</v>
      </c>
      <c r="AE21" s="13">
        <f t="shared" si="7"/>
        <v>3208.59</v>
      </c>
      <c r="AF21" s="13">
        <f>'2 полугодие'!AB21+'по статьям 1 полугодие'!AB21</f>
        <v>0</v>
      </c>
      <c r="AG21" s="13">
        <f>'2 полугодие'!AC21+'по статьям 1 полугодие'!AC21</f>
        <v>36415.810649035906</v>
      </c>
      <c r="AH21" s="13" t="e">
        <f t="shared" si="8"/>
        <v>#REF!</v>
      </c>
      <c r="AI21" s="13" t="e">
        <f>'2 полугодие'!#REF!+'по статьям 1 полугодие'!#REF!</f>
        <v>#REF!</v>
      </c>
      <c r="AJ21" s="13">
        <f>'2 полугодие'!AD21+'по статьям 1 полугодие'!AD21</f>
        <v>11182.113420410024</v>
      </c>
      <c r="AK21" s="13">
        <f>'2 полугодие'!AE21+'по статьям 1 полугодие'!AE21</f>
        <v>8075.970803629461</v>
      </c>
      <c r="AL21" s="13">
        <f>'2 полугодие'!AF21+'по статьям 1 полугодие'!AF21</f>
        <v>7820.654832682768</v>
      </c>
      <c r="AM21" s="13">
        <f>'2 полугодие'!AG21+'по статьям 1 полугодие'!AG21</f>
        <v>4037.9854018147307</v>
      </c>
      <c r="AN21" s="16">
        <f>'2 полугодие'!AH21+'по статьям 1 полугодие'!AH21</f>
        <v>132672.79</v>
      </c>
      <c r="AO21" s="4">
        <f>'2 полугодие'!AI21+'по статьям 1 полугодие'!AI21</f>
        <v>32525.77</v>
      </c>
      <c r="AP21" s="15">
        <f t="shared" si="9"/>
        <v>165198.56</v>
      </c>
      <c r="AQ21" s="13">
        <f>'2 полугодие'!AK21+'по статьям 1 полугодие'!AK21</f>
        <v>143563</v>
      </c>
      <c r="AR21" s="13">
        <f t="shared" si="10"/>
        <v>3208.59</v>
      </c>
      <c r="AS21" s="13">
        <f>'2 полугодие'!AM21+'по статьям 1 полугодие'!AM21</f>
        <v>0</v>
      </c>
      <c r="AT21" s="13">
        <f>'2 полугодие'!AN21+'по статьям 1 полугодие'!AN21</f>
        <v>30859.642184248496</v>
      </c>
      <c r="AU21" s="13" t="e">
        <f>'2 полугодие'!#REF!+'по статьям 1 полугодие'!#REF!</f>
        <v>#REF!</v>
      </c>
      <c r="AV21" s="13" t="e">
        <f>'2 полугодие'!#REF!+'по статьям 1 полугодие'!#REF!</f>
        <v>#REF!</v>
      </c>
      <c r="AW21" s="13">
        <f>'2 полугодие'!AO21+'по статьям 1 полугодие'!AO21</f>
        <v>9548.296814764182</v>
      </c>
      <c r="AX21" s="13">
        <f>'2 полугодие'!AP21+'по статьям 1 полугодие'!AP21</f>
        <v>6895.992143996354</v>
      </c>
      <c r="AY21" s="13">
        <f>'2 полугодие'!AQ21+'по статьям 1 полугодие'!AQ21</f>
        <v>6544.893782942203</v>
      </c>
      <c r="AZ21" s="13">
        <f>'2 полугодие'!AR21+'по статьям 1 полугодие'!AR21</f>
        <v>3447.996071998177</v>
      </c>
      <c r="BA21" s="22" t="e">
        <f t="shared" si="11"/>
        <v>#REF!</v>
      </c>
      <c r="BB21" s="15">
        <f>'2 полугодие'!AT21+'по статьям 1 полугодие'!AT21</f>
        <v>34057.96428571429</v>
      </c>
      <c r="BC21" s="15" t="e">
        <f t="shared" si="12"/>
        <v>#REF!</v>
      </c>
      <c r="BD21" s="9" t="s">
        <v>24</v>
      </c>
    </row>
    <row r="22" spans="1:56" ht="15">
      <c r="A22" s="26">
        <v>17</v>
      </c>
      <c r="B22" s="9" t="s">
        <v>25</v>
      </c>
      <c r="C22" s="11">
        <v>717.09</v>
      </c>
      <c r="D22" s="87" t="e">
        <f t="shared" si="0"/>
        <v>#REF!</v>
      </c>
      <c r="E22" s="87">
        <f>('2 полугодие'!E59+'по статьям 1 полугодие'!E22)/2</f>
        <v>0.34499976757915096</v>
      </c>
      <c r="F22" s="87"/>
      <c r="G22" s="87">
        <v>2.85</v>
      </c>
      <c r="H22" s="87" t="e">
        <f t="shared" si="1"/>
        <v>#REF!</v>
      </c>
      <c r="I22" s="87">
        <v>0.26</v>
      </c>
      <c r="J22" s="87">
        <v>1.03</v>
      </c>
      <c r="K22" s="87">
        <v>0.78</v>
      </c>
      <c r="L22" s="87">
        <v>0.58</v>
      </c>
      <c r="M22" s="87">
        <v>0.39</v>
      </c>
      <c r="N22" s="109">
        <v>11.92</v>
      </c>
      <c r="O22" s="5">
        <v>3.56</v>
      </c>
      <c r="P22" s="196">
        <f t="shared" si="2"/>
        <v>15.48</v>
      </c>
      <c r="Q22" s="13" t="e">
        <f t="shared" si="3"/>
        <v>#REF!</v>
      </c>
      <c r="R22" s="13">
        <f>('2 полугодие'!P22+'по статьям 1 полугодие'!P22)</f>
        <v>2968.75</v>
      </c>
      <c r="S22" s="13">
        <f>'2 полугодие'!Q22+'по статьям 1 полугодие'!Q22</f>
        <v>0</v>
      </c>
      <c r="T22" s="13">
        <f>'2 полугодие'!R22+'по статьям 1 полугодие'!R22</f>
        <v>30031.74698181818</v>
      </c>
      <c r="U22" s="13" t="e">
        <f t="shared" si="4"/>
        <v>#REF!</v>
      </c>
      <c r="V22" s="13" t="e">
        <f>'2 полугодие'!#REF!+'по статьям 1 полугодие'!#REF!</f>
        <v>#REF!</v>
      </c>
      <c r="W22" s="13">
        <f>'2 полугодие'!S22+'по статьям 1 полугодие'!S22</f>
        <v>9293.492290909093</v>
      </c>
      <c r="X22" s="13">
        <f>'2 полугодие'!T22+'по статьям 1 полугодие'!T22</f>
        <v>6711.966654545455</v>
      </c>
      <c r="Y22" s="13">
        <f>'2 полугодие'!U22+'по статьям 1 полугодие'!U22</f>
        <v>6367.762527272727</v>
      </c>
      <c r="Z22" s="13">
        <f>'2 полугодие'!V22+'по статьям 1 полугодие'!V22</f>
        <v>3355.9833272727274</v>
      </c>
      <c r="AA22" s="13">
        <f>'2 полугодие'!W22+'по статьям 1 полугодие'!W22</f>
        <v>110016.01620000001</v>
      </c>
      <c r="AB22" s="15">
        <f>'2 полугодие'!X22+'по статьям 1 полугодие'!X22</f>
        <v>32269.245000000003</v>
      </c>
      <c r="AC22" s="15">
        <f t="shared" si="5"/>
        <v>142285.2612</v>
      </c>
      <c r="AD22" s="13" t="e">
        <f t="shared" si="6"/>
        <v>#REF!</v>
      </c>
      <c r="AE22" s="13">
        <f t="shared" si="7"/>
        <v>2968.75</v>
      </c>
      <c r="AF22" s="13">
        <f>'2 полугодие'!AB22+'по статьям 1 полугодие'!AB22</f>
        <v>0</v>
      </c>
      <c r="AG22" s="13">
        <f>'2 полугодие'!AC22+'по статьям 1 полугодие'!AC22</f>
        <v>30820.896948790727</v>
      </c>
      <c r="AH22" s="13" t="e">
        <f t="shared" si="8"/>
        <v>#REF!</v>
      </c>
      <c r="AI22" s="13" t="e">
        <f>'2 полугодие'!#REF!+'по статьям 1 полугодие'!#REF!</f>
        <v>#REF!</v>
      </c>
      <c r="AJ22" s="13">
        <f>'2 полугодие'!AD22+'по статьям 1 полугодие'!AD22</f>
        <v>9559.534888204253</v>
      </c>
      <c r="AK22" s="13">
        <f>'2 полугодие'!AE22+'по статьям 1 полугодие'!AE22</f>
        <v>6904.108530369738</v>
      </c>
      <c r="AL22" s="13">
        <f>'2 полугодие'!AF22+'по статьям 1 полугодие'!AF22</f>
        <v>6510.168239952947</v>
      </c>
      <c r="AM22" s="13">
        <f>'2 полугодие'!AG22+'по статьям 1 полугодие'!AG22</f>
        <v>3452.054265184869</v>
      </c>
      <c r="AN22" s="16">
        <f>'2 полугодие'!AH22+'по статьям 1 полугодие'!AH22</f>
        <v>113090.25499999999</v>
      </c>
      <c r="AO22" s="4">
        <f>'2 полугодие'!AI22+'по статьям 1 полугодие'!AI22</f>
        <v>33306.185</v>
      </c>
      <c r="AP22" s="15">
        <f t="shared" si="9"/>
        <v>146396.44</v>
      </c>
      <c r="AQ22" s="13">
        <f>'2 полугодие'!AK22+'по статьям 1 полугодие'!AK22</f>
        <v>51673.7</v>
      </c>
      <c r="AR22" s="13">
        <f t="shared" si="10"/>
        <v>2968.75</v>
      </c>
      <c r="AS22" s="13">
        <f>'2 полугодие'!AM22+'по статьям 1 полугодие'!AM22</f>
        <v>0</v>
      </c>
      <c r="AT22" s="13">
        <f>'2 полугодие'!AN22+'по статьям 1 полугодие'!AN22</f>
        <v>28601.66379220779</v>
      </c>
      <c r="AU22" s="13" t="e">
        <f>'2 полугодие'!#REF!+'по статьям 1 полугодие'!#REF!</f>
        <v>#REF!</v>
      </c>
      <c r="AV22" s="13" t="e">
        <f>'2 полугодие'!#REF!+'по статьям 1 полугодие'!#REF!</f>
        <v>#REF!</v>
      </c>
      <c r="AW22" s="13">
        <f>'2 полугодие'!AO22+'по статьям 1 полугодие'!AO22</f>
        <v>8850.94503896104</v>
      </c>
      <c r="AX22" s="13">
        <f>'2 полугодие'!AP22+'по статьям 1 полугодие'!AP22</f>
        <v>6392.349194805195</v>
      </c>
      <c r="AY22" s="13">
        <f>'2 полугодие'!AQ22+'по статьям 1 полугодие'!AQ22</f>
        <v>6064.53574025974</v>
      </c>
      <c r="AZ22" s="13">
        <f>'2 полугодие'!AR22+'по статьям 1 полугодие'!AR22</f>
        <v>3196.1745974025976</v>
      </c>
      <c r="BA22" s="22" t="e">
        <f t="shared" si="11"/>
        <v>#REF!</v>
      </c>
      <c r="BB22" s="15">
        <f>'2 полугодие'!AT22+'по статьям 1 полугодие'!AT22</f>
        <v>31500.925</v>
      </c>
      <c r="BC22" s="15" t="e">
        <f t="shared" si="12"/>
        <v>#REF!</v>
      </c>
      <c r="BD22" s="9" t="s">
        <v>25</v>
      </c>
    </row>
    <row r="23" spans="1:56" ht="15">
      <c r="A23" s="26">
        <v>18</v>
      </c>
      <c r="B23" s="9" t="s">
        <v>26</v>
      </c>
      <c r="C23" s="11">
        <v>720.18</v>
      </c>
      <c r="D23" s="87" t="e">
        <f t="shared" si="0"/>
        <v>#REF!</v>
      </c>
      <c r="E23" s="87">
        <f>('2 полугодие'!E60+'по статьям 1 полугодие'!E23)/2</f>
        <v>0.3449995371527489</v>
      </c>
      <c r="F23" s="87"/>
      <c r="G23" s="87">
        <v>2.85</v>
      </c>
      <c r="H23" s="87" t="e">
        <f t="shared" si="1"/>
        <v>#REF!</v>
      </c>
      <c r="I23" s="87">
        <v>0.26</v>
      </c>
      <c r="J23" s="87">
        <v>1.03</v>
      </c>
      <c r="K23" s="87">
        <v>0.78</v>
      </c>
      <c r="L23" s="87">
        <v>0.58</v>
      </c>
      <c r="M23" s="87">
        <v>0.39</v>
      </c>
      <c r="N23" s="109">
        <v>11.92</v>
      </c>
      <c r="O23" s="5">
        <v>3.56</v>
      </c>
      <c r="P23" s="196">
        <f t="shared" si="2"/>
        <v>15.48</v>
      </c>
      <c r="Q23" s="13" t="e">
        <f t="shared" si="3"/>
        <v>#REF!</v>
      </c>
      <c r="R23" s="13">
        <f>('2 полугодие'!P23+'по статьям 1 полугодие'!P23)</f>
        <v>2981.54</v>
      </c>
      <c r="S23" s="13">
        <f>'2 полугодие'!Q23+'по статьям 1 полугодие'!Q23</f>
        <v>0</v>
      </c>
      <c r="T23" s="13">
        <f>'2 полугодие'!R23+'по статьям 1 полугодие'!R23</f>
        <v>30161.48332567783</v>
      </c>
      <c r="U23" s="13" t="e">
        <f t="shared" si="4"/>
        <v>#REF!</v>
      </c>
      <c r="V23" s="13" t="e">
        <f>'2 полугодие'!#REF!+'по статьям 1 полугодие'!#REF!</f>
        <v>#REF!</v>
      </c>
      <c r="W23" s="13">
        <f>'2 полугодие'!S23+'по статьям 1 полугодие'!S23</f>
        <v>9333.647069856459</v>
      </c>
      <c r="X23" s="13">
        <f>'2 полугодие'!T23+'по статьям 1 полугодие'!T23</f>
        <v>6740.967328229665</v>
      </c>
      <c r="Y23" s="13">
        <f>'2 полугодие'!U23+'по статьям 1 полугодие'!U23</f>
        <v>6395.262941307815</v>
      </c>
      <c r="Z23" s="13">
        <f>'2 полугодие'!V23+'по статьям 1 полугодие'!V23</f>
        <v>3370.4836641148327</v>
      </c>
      <c r="AA23" s="13">
        <f>'2 полугодие'!W23+'по статьям 1 полугодие'!W23</f>
        <v>110491.3424</v>
      </c>
      <c r="AB23" s="15">
        <f>'2 полугодие'!X23+'по статьям 1 полугодие'!X23</f>
        <v>32408.71</v>
      </c>
      <c r="AC23" s="15">
        <f t="shared" si="5"/>
        <v>142900.0524</v>
      </c>
      <c r="AD23" s="13" t="e">
        <f t="shared" si="6"/>
        <v>#REF!</v>
      </c>
      <c r="AE23" s="13">
        <f t="shared" si="7"/>
        <v>2981.54</v>
      </c>
      <c r="AF23" s="13">
        <f>'2 полугодие'!AB23+'по статьям 1 полугодие'!AB23</f>
        <v>0</v>
      </c>
      <c r="AG23" s="13">
        <f>'2 полугодие'!AC23+'по статьям 1 полугодие'!AC23</f>
        <v>31083.040737667092</v>
      </c>
      <c r="AH23" s="13" t="e">
        <f t="shared" si="8"/>
        <v>#REF!</v>
      </c>
      <c r="AI23" s="13" t="e">
        <f>'2 полугодие'!#REF!+'по статьям 1 полугодие'!#REF!</f>
        <v>#REF!</v>
      </c>
      <c r="AJ23" s="13">
        <f>'2 полугодие'!AD23+'по статьям 1 полугодие'!AD23</f>
        <v>9578.890539828955</v>
      </c>
      <c r="AK23" s="13">
        <f>'2 полугодие'!AE23+'по статьям 1 полугодие'!AE23</f>
        <v>6918.08761209869</v>
      </c>
      <c r="AL23" s="13">
        <f>'2 полугодие'!AF23+'по статьям 1 полугодие'!AF23</f>
        <v>6636.245779094005</v>
      </c>
      <c r="AM23" s="13">
        <f>'2 полугодие'!AG23+'по статьям 1 полугодие'!AG23</f>
        <v>3459.043806049345</v>
      </c>
      <c r="AN23" s="16">
        <f>'2 полугодие'!AH23+'по статьям 1 полугодие'!AH23</f>
        <v>113532</v>
      </c>
      <c r="AO23" s="4">
        <f>'2 полугодие'!AI23+'по статьям 1 полугодие'!AI23</f>
        <v>31781.309999999998</v>
      </c>
      <c r="AP23" s="15">
        <f t="shared" si="9"/>
        <v>145313.31</v>
      </c>
      <c r="AQ23" s="13">
        <f>'2 полугодие'!AK23+'по статьям 1 полугодие'!AK23</f>
        <v>4461.5</v>
      </c>
      <c r="AR23" s="13">
        <f t="shared" si="10"/>
        <v>2981.54</v>
      </c>
      <c r="AS23" s="13">
        <f>'2 полугодие'!AM23+'по статьям 1 полугодие'!AM23</f>
        <v>0</v>
      </c>
      <c r="AT23" s="13">
        <f>'2 полугодие'!AN23+'по статьям 1 полугодие'!AN23</f>
        <v>28725.222214931266</v>
      </c>
      <c r="AU23" s="13" t="e">
        <f>'2 полугодие'!#REF!+'по статьям 1 полугодие'!#REF!</f>
        <v>#REF!</v>
      </c>
      <c r="AV23" s="13" t="e">
        <f>'2 полугодие'!#REF!+'по статьям 1 полугодие'!#REF!</f>
        <v>#REF!</v>
      </c>
      <c r="AW23" s="13">
        <f>'2 полугодие'!AO23+'по статьям 1 полугодие'!AO23</f>
        <v>8889.18768557758</v>
      </c>
      <c r="AX23" s="13">
        <f>'2 полугодие'!AP23+'по статьям 1 полугодие'!AP23</f>
        <v>6419.968884028252</v>
      </c>
      <c r="AY23" s="13">
        <f>'2 полугодие'!AQ23+'по статьям 1 полугодие'!AQ23</f>
        <v>6090.726610769347</v>
      </c>
      <c r="AZ23" s="13">
        <f>'2 полугодие'!AR23+'по статьям 1 полугодие'!AR23</f>
        <v>3209.984442014126</v>
      </c>
      <c r="BA23" s="22" t="e">
        <f t="shared" si="11"/>
        <v>#REF!</v>
      </c>
      <c r="BB23" s="15">
        <f>'2 полугодие'!AT23+'по статьям 1 полугодие'!AT23</f>
        <v>31637.059523809523</v>
      </c>
      <c r="BC23" s="15" t="e">
        <f t="shared" si="12"/>
        <v>#REF!</v>
      </c>
      <c r="BD23" s="9" t="s">
        <v>26</v>
      </c>
    </row>
    <row r="24" spans="1:56" ht="15">
      <c r="A24" s="26">
        <v>19</v>
      </c>
      <c r="B24" s="9" t="s">
        <v>27</v>
      </c>
      <c r="C24" s="11">
        <v>375.4</v>
      </c>
      <c r="D24" s="87" t="e">
        <f t="shared" si="0"/>
        <v>#REF!</v>
      </c>
      <c r="E24" s="87">
        <f>('2 полугодие'!E61+'по статьям 1 полугодие'!E24)/2</f>
        <v>0.34500000000000003</v>
      </c>
      <c r="F24" s="87"/>
      <c r="G24" s="87">
        <v>2.85</v>
      </c>
      <c r="H24" s="87" t="e">
        <f t="shared" si="1"/>
        <v>#REF!</v>
      </c>
      <c r="I24" s="87">
        <v>0.26</v>
      </c>
      <c r="J24" s="87">
        <v>1.03</v>
      </c>
      <c r="K24" s="87">
        <v>0.78</v>
      </c>
      <c r="L24" s="87">
        <v>0.58</v>
      </c>
      <c r="M24" s="87">
        <v>0.39</v>
      </c>
      <c r="N24" s="109">
        <v>11.92</v>
      </c>
      <c r="O24" s="5">
        <v>3.56</v>
      </c>
      <c r="P24" s="196">
        <f t="shared" si="2"/>
        <v>15.48</v>
      </c>
      <c r="Q24" s="13" t="e">
        <f t="shared" si="3"/>
        <v>#REF!</v>
      </c>
      <c r="R24" s="13">
        <f>('2 полугодие'!P24+'по статьям 1 полугодие'!P24)</f>
        <v>1554.16</v>
      </c>
      <c r="S24" s="13">
        <f>'2 полугодие'!Q24+'по статьям 1 полугодие'!Q24</f>
        <v>0</v>
      </c>
      <c r="T24" s="13">
        <f>'2 полугодие'!R24+'по статьям 1 полугодие'!R24</f>
        <v>15721.742641148325</v>
      </c>
      <c r="U24" s="13" t="e">
        <f t="shared" si="4"/>
        <v>#REF!</v>
      </c>
      <c r="V24" s="13" t="e">
        <f>'2 полугодие'!#REF!+'по статьям 1 полугодие'!#REF!</f>
        <v>#REF!</v>
      </c>
      <c r="W24" s="13">
        <f>'2 полугодие'!S24+'по статьям 1 полугодие'!S24</f>
        <v>4865.180899521532</v>
      </c>
      <c r="X24" s="13">
        <f>'2 полугодие'!T24+'по статьям 1 полугодие'!T24</f>
        <v>3513.7417607655507</v>
      </c>
      <c r="Y24" s="13">
        <f>'2 полугодие'!U24+'по статьям 1 полугодие'!U24</f>
        <v>3333.5502488038283</v>
      </c>
      <c r="Z24" s="13">
        <f>'2 полугодие'!V24+'по статьям 1 полугодие'!V24</f>
        <v>1756.8708803827753</v>
      </c>
      <c r="AA24" s="13">
        <f>'2 полугодие'!W24+'по статьям 1 полугодие'!W24</f>
        <v>57593.83200000001</v>
      </c>
      <c r="AB24" s="15">
        <f>'2 полугодие'!X24+'по статьям 1 полугодие'!X24</f>
        <v>16893.120000000003</v>
      </c>
      <c r="AC24" s="15">
        <f t="shared" si="5"/>
        <v>74486.95200000002</v>
      </c>
      <c r="AD24" s="13" t="e">
        <f t="shared" si="6"/>
        <v>#REF!</v>
      </c>
      <c r="AE24" s="13">
        <f t="shared" si="7"/>
        <v>1554.16</v>
      </c>
      <c r="AF24" s="13">
        <f>'2 полугодие'!AB24+'по статьям 1 полугодие'!AB24</f>
        <v>0</v>
      </c>
      <c r="AG24" s="13">
        <f>'2 полугодие'!AC24+'по статьям 1 полугодие'!AC24</f>
        <v>11374.775602149866</v>
      </c>
      <c r="AH24" s="13" t="e">
        <f t="shared" si="8"/>
        <v>#REF!</v>
      </c>
      <c r="AI24" s="13" t="e">
        <f>'2 полугодие'!#REF!+'по статьям 1 полугодие'!#REF!</f>
        <v>#REF!</v>
      </c>
      <c r="AJ24" s="13">
        <f>'2 полугодие'!AD24+'по статьям 1 полугодие'!AD24</f>
        <v>3543.915975867248</v>
      </c>
      <c r="AK24" s="13">
        <f>'2 полугодие'!AE24+'по статьям 1 полугодие'!AE24</f>
        <v>2559.494871459679</v>
      </c>
      <c r="AL24" s="13">
        <f>'2 полугодие'!AF24+'по статьям 1 полугодие'!AF24</f>
        <v>2384.53428093187</v>
      </c>
      <c r="AM24" s="13">
        <f>'2 полугодие'!AG24+'по статьям 1 полугодие'!AG24</f>
        <v>1279.7474357298395</v>
      </c>
      <c r="AN24" s="16">
        <f>'2 полугодие'!AH24+'по статьям 1 полугодие'!AH24</f>
        <v>41870.380000000005</v>
      </c>
      <c r="AO24" s="4">
        <f>'2 полугодие'!AI24+'по статьям 1 полугодие'!AI24</f>
        <v>15210.6</v>
      </c>
      <c r="AP24" s="15">
        <f t="shared" si="9"/>
        <v>57080.98</v>
      </c>
      <c r="AQ24" s="13">
        <f>'2 полугодие'!AK24+'по статьям 1 полугодие'!AK24</f>
        <v>15512.4</v>
      </c>
      <c r="AR24" s="13">
        <f t="shared" si="10"/>
        <v>1554.16</v>
      </c>
      <c r="AS24" s="13">
        <f>'2 полугодие'!AM24+'по статьям 1 полугодие'!AM24</f>
        <v>0</v>
      </c>
      <c r="AT24" s="13">
        <f>'2 полугодие'!AN24+'по статьям 1 полугодие'!AN24</f>
        <v>14973.08822966507</v>
      </c>
      <c r="AU24" s="13" t="e">
        <f>'2 полугодие'!#REF!+'по статьям 1 полугодие'!#REF!</f>
        <v>#REF!</v>
      </c>
      <c r="AV24" s="13" t="e">
        <f>'2 полугодие'!#REF!+'по статьям 1 полугодие'!#REF!</f>
        <v>#REF!</v>
      </c>
      <c r="AW24" s="13">
        <f>'2 полугодие'!AO24+'по статьям 1 полугодие'!AO24</f>
        <v>4633.505618591935</v>
      </c>
      <c r="AX24" s="13">
        <f>'2 полугодие'!AP24+'по статьям 1 полугодие'!AP24</f>
        <v>3346.4207245386197</v>
      </c>
      <c r="AY24" s="13">
        <f>'2 полугодие'!AQ24+'по статьям 1 полугодие'!AQ24</f>
        <v>3174.80976076555</v>
      </c>
      <c r="AZ24" s="13">
        <f>'2 полугодие'!AR24+'по статьям 1 полугодие'!AR24</f>
        <v>1673.2103622693098</v>
      </c>
      <c r="BA24" s="22" t="e">
        <f t="shared" si="11"/>
        <v>#REF!</v>
      </c>
      <c r="BB24" s="15">
        <f>'2 полугодие'!AT24+'по статьям 1 полугодие'!AT24</f>
        <v>16490.9</v>
      </c>
      <c r="BC24" s="15" t="e">
        <f t="shared" si="12"/>
        <v>#REF!</v>
      </c>
      <c r="BD24" s="9" t="s">
        <v>27</v>
      </c>
    </row>
    <row r="25" spans="1:56" ht="15">
      <c r="A25" s="26">
        <v>20</v>
      </c>
      <c r="B25" s="9" t="s">
        <v>28</v>
      </c>
      <c r="C25" s="11">
        <v>366.6</v>
      </c>
      <c r="D25" s="87" t="e">
        <f t="shared" si="0"/>
        <v>#REF!</v>
      </c>
      <c r="E25" s="87">
        <f>('2 полугодие'!E62+'по статьям 1 полугодие'!E25)/2</f>
        <v>0.345</v>
      </c>
      <c r="F25" s="87"/>
      <c r="G25" s="87">
        <v>2.85</v>
      </c>
      <c r="H25" s="87" t="e">
        <f t="shared" si="1"/>
        <v>#REF!</v>
      </c>
      <c r="I25" s="87">
        <v>0.26</v>
      </c>
      <c r="J25" s="87">
        <v>1.03</v>
      </c>
      <c r="K25" s="87">
        <v>0.78</v>
      </c>
      <c r="L25" s="87">
        <v>0.58</v>
      </c>
      <c r="M25" s="87">
        <v>0.39</v>
      </c>
      <c r="N25" s="109">
        <v>11.92</v>
      </c>
      <c r="O25" s="5">
        <v>3.56</v>
      </c>
      <c r="P25" s="196">
        <f t="shared" si="2"/>
        <v>15.48</v>
      </c>
      <c r="Q25" s="13" t="e">
        <f t="shared" si="3"/>
        <v>#REF!</v>
      </c>
      <c r="R25" s="13">
        <f>('2 полугодие'!P25+'по статьям 1 полугодие'!P25)</f>
        <v>1517.72</v>
      </c>
      <c r="S25" s="13">
        <f>'2 полугодие'!Q25+'по статьям 1 полугодие'!Q25</f>
        <v>0</v>
      </c>
      <c r="T25" s="13">
        <f>'2 полугодие'!R25+'по статьям 1 полугодие'!R25</f>
        <v>15353.2329569378</v>
      </c>
      <c r="U25" s="13" t="e">
        <f t="shared" si="4"/>
        <v>#REF!</v>
      </c>
      <c r="V25" s="13" t="e">
        <f>'2 полугодие'!#REF!+'по статьям 1 полугодие'!#REF!</f>
        <v>#REF!</v>
      </c>
      <c r="W25" s="13">
        <f>'2 полугодие'!S25+'по статьям 1 полугодие'!S25</f>
        <v>4751.1442679425845</v>
      </c>
      <c r="X25" s="13">
        <f>'2 полугодие'!T25+'по статьям 1 полугодие'!T25</f>
        <v>3431.3819712918666</v>
      </c>
      <c r="Y25" s="13">
        <f>'2 полугодие'!U25+'по статьям 1 полугодие'!U25</f>
        <v>3255.4126698564596</v>
      </c>
      <c r="Z25" s="13">
        <f>'2 полугодие'!V25+'по статьям 1 полугодие'!V25</f>
        <v>1715.6909856459333</v>
      </c>
      <c r="AA25" s="13">
        <f>'2 полугодие'!W25+'по статьям 1 полугодие'!W25</f>
        <v>56243.868</v>
      </c>
      <c r="AB25" s="15">
        <f>'2 полугодие'!X25+'по статьям 1 полугодие'!X25</f>
        <v>16497.120000000003</v>
      </c>
      <c r="AC25" s="15">
        <f t="shared" si="5"/>
        <v>72740.98800000001</v>
      </c>
      <c r="AD25" s="13" t="e">
        <f t="shared" si="6"/>
        <v>#REF!</v>
      </c>
      <c r="AE25" s="13">
        <f t="shared" si="7"/>
        <v>1517.72</v>
      </c>
      <c r="AF25" s="13">
        <f>'2 полугодие'!AB25+'по статьям 1 полугодие'!AB25</f>
        <v>0</v>
      </c>
      <c r="AG25" s="13">
        <f>'2 полугодие'!AC25+'по статьям 1 полугодие'!AC25</f>
        <v>11791.001587344137</v>
      </c>
      <c r="AH25" s="13" t="e">
        <f t="shared" si="8"/>
        <v>#REF!</v>
      </c>
      <c r="AI25" s="13" t="e">
        <f>'2 полугодие'!#REF!+'по статьям 1 полугодие'!#REF!</f>
        <v>#REF!</v>
      </c>
      <c r="AJ25" s="13">
        <f>'2 полугодие'!AD25+'по статьям 1 полугодие'!AD25</f>
        <v>3664.5151992273995</v>
      </c>
      <c r="AK25" s="13">
        <f>'2 полугодие'!AE25+'по статьям 1 полугодие'!AE25</f>
        <v>2646.594310553122</v>
      </c>
      <c r="AL25" s="13">
        <f>'2 полугодие'!AF25+'по статьям 1 полугодие'!AF25</f>
        <v>2482.152028511067</v>
      </c>
      <c r="AM25" s="13">
        <f>'2 полугодие'!AG25+'по статьям 1 полугодие'!AG25</f>
        <v>1323.297155276561</v>
      </c>
      <c r="AN25" s="16">
        <f>'2 полугодие'!AH25+'по статьям 1 полугодие'!AH25</f>
        <v>43326.270000000004</v>
      </c>
      <c r="AO25" s="4">
        <f>'2 полугодие'!AI25+'по статьям 1 полугодие'!AI25</f>
        <v>14880.59</v>
      </c>
      <c r="AP25" s="15">
        <f t="shared" si="9"/>
        <v>58206.86</v>
      </c>
      <c r="AQ25" s="13">
        <f>'2 полугодие'!AK25+'по статьям 1 полугодие'!AK25</f>
        <v>1880</v>
      </c>
      <c r="AR25" s="13">
        <f t="shared" si="10"/>
        <v>1517.72</v>
      </c>
      <c r="AS25" s="13">
        <f>'2 полугодие'!AM25+'по статьям 1 полугодие'!AM25</f>
        <v>0</v>
      </c>
      <c r="AT25" s="13">
        <f>'2 полугодие'!AN25+'по статьям 1 полугодие'!AN25</f>
        <v>14622.126625655048</v>
      </c>
      <c r="AU25" s="13" t="e">
        <f>'2 полугодие'!#REF!+'по статьям 1 полугодие'!#REF!</f>
        <v>#REF!</v>
      </c>
      <c r="AV25" s="13" t="e">
        <f>'2 полугодие'!#REF!+'по статьям 1 полугодие'!#REF!</f>
        <v>#REF!</v>
      </c>
      <c r="AW25" s="13">
        <f>'2 полугодие'!AO25+'по статьям 1 полугодие'!AO25</f>
        <v>4524.8993028024615</v>
      </c>
      <c r="AX25" s="13">
        <f>'2 полугодие'!AP25+'по статьям 1 полугодие'!AP25</f>
        <v>3267.9828298017774</v>
      </c>
      <c r="AY25" s="13">
        <f>'2 полугодие'!AQ25+'по статьям 1 полугодие'!AQ25</f>
        <v>3100.3930189109133</v>
      </c>
      <c r="AZ25" s="13">
        <f>'2 полугодие'!AR25+'по статьям 1 полугодие'!AR25</f>
        <v>1633.9914149008887</v>
      </c>
      <c r="BA25" s="22" t="e">
        <f t="shared" si="11"/>
        <v>#REF!</v>
      </c>
      <c r="BB25" s="15">
        <f>'2 полугодие'!AT25+'по статьям 1 полугодие'!AT25</f>
        <v>16104.328571428572</v>
      </c>
      <c r="BC25" s="15" t="e">
        <f t="shared" si="12"/>
        <v>#REF!</v>
      </c>
      <c r="BD25" s="9" t="s">
        <v>28</v>
      </c>
    </row>
    <row r="26" spans="1:56" ht="15">
      <c r="A26" s="26">
        <v>21</v>
      </c>
      <c r="B26" s="9" t="s">
        <v>29</v>
      </c>
      <c r="C26" s="11">
        <v>723.38</v>
      </c>
      <c r="D26" s="87" t="e">
        <f t="shared" si="0"/>
        <v>#REF!</v>
      </c>
      <c r="E26" s="87">
        <f>('2 полугодие'!E63+'по статьям 1 полугодие'!E26)/2</f>
        <v>0.34519883509819643</v>
      </c>
      <c r="F26" s="87"/>
      <c r="G26" s="87">
        <v>2.85</v>
      </c>
      <c r="H26" s="87" t="e">
        <f t="shared" si="1"/>
        <v>#REF!</v>
      </c>
      <c r="I26" s="87">
        <v>0.26</v>
      </c>
      <c r="J26" s="87">
        <v>1.03</v>
      </c>
      <c r="K26" s="87">
        <v>0.78</v>
      </c>
      <c r="L26" s="87">
        <v>0.58</v>
      </c>
      <c r="M26" s="87">
        <v>0.39</v>
      </c>
      <c r="N26" s="109">
        <v>11.92</v>
      </c>
      <c r="O26" s="5">
        <v>3.56</v>
      </c>
      <c r="P26" s="196">
        <f t="shared" si="2"/>
        <v>15.48</v>
      </c>
      <c r="Q26" s="13" t="e">
        <f t="shared" si="3"/>
        <v>#REF!</v>
      </c>
      <c r="R26" s="13">
        <f>('2 полугодие'!P26+'по статьям 1 полугодие'!P26)</f>
        <v>2998.77</v>
      </c>
      <c r="S26" s="13">
        <f>'2 полугодие'!Q26+'по статьям 1 полугодие'!Q26</f>
        <v>0</v>
      </c>
      <c r="T26" s="13">
        <f>'2 полугодие'!R26+'по статьям 1 полугодие'!R26</f>
        <v>30314.75308325359</v>
      </c>
      <c r="U26" s="13" t="e">
        <f t="shared" si="4"/>
        <v>#REF!</v>
      </c>
      <c r="V26" s="13" t="e">
        <f>'2 полугодие'!#REF!+'по статьям 1 полугодие'!#REF!</f>
        <v>#REF!</v>
      </c>
      <c r="W26" s="13">
        <f>'2 полугодие'!S26+'по статьям 1 полугодие'!S26</f>
        <v>9381.497615311006</v>
      </c>
      <c r="X26" s="13">
        <f>'2 полугодие'!T26+'по статьям 1 полугодие'!T26</f>
        <v>6775.526055502392</v>
      </c>
      <c r="Y26" s="13">
        <f>'2 полугодие'!U26+'по статьям 1 полугодие'!U26</f>
        <v>6427.281638277513</v>
      </c>
      <c r="Z26" s="13">
        <f>'2 полугодие'!V26+'по статьям 1 полугодие'!V26</f>
        <v>3387.763027751196</v>
      </c>
      <c r="AA26" s="13">
        <f>'2 полугодие'!W26+'по статьям 1 полугодие'!W26</f>
        <v>111056.3484</v>
      </c>
      <c r="AB26" s="15">
        <f>'2 полугодие'!X26+'по статьям 1 полугодие'!X26</f>
        <v>32574.670000000002</v>
      </c>
      <c r="AC26" s="15">
        <f t="shared" si="5"/>
        <v>143631.0184</v>
      </c>
      <c r="AD26" s="13" t="e">
        <f t="shared" si="6"/>
        <v>#REF!</v>
      </c>
      <c r="AE26" s="13">
        <f t="shared" si="7"/>
        <v>2998.77</v>
      </c>
      <c r="AF26" s="13">
        <f>'2 полугодие'!AB26+'по статьям 1 полугодие'!AB26</f>
        <v>0</v>
      </c>
      <c r="AG26" s="13">
        <f>'2 полугодие'!AC26+'по статьям 1 полугодие'!AC26</f>
        <v>30517.044494351765</v>
      </c>
      <c r="AH26" s="13" t="e">
        <f t="shared" si="8"/>
        <v>#REF!</v>
      </c>
      <c r="AI26" s="13" t="e">
        <f>'2 полугодие'!#REF!+'по статьям 1 полугодие'!#REF!</f>
        <v>#REF!</v>
      </c>
      <c r="AJ26" s="13">
        <f>'2 полугодие'!AD26+'по статьям 1 полугодие'!AD26</f>
        <v>9350.115871874623</v>
      </c>
      <c r="AK26" s="13">
        <f>'2 полугодие'!AE26+'по статьям 1 полугодие'!AE26</f>
        <v>6752.861463020561</v>
      </c>
      <c r="AL26" s="13">
        <f>'2 полугодие'!AF26+'по статьям 1 полугодие'!AF26</f>
        <v>6577.436382168006</v>
      </c>
      <c r="AM26" s="13">
        <f>'2 полугодие'!AG26+'по статьям 1 полугодие'!AG26</f>
        <v>3376.4307315102806</v>
      </c>
      <c r="AN26" s="16">
        <f>'2 полугодие'!AH26+'по статьям 1 полугодие'!AH26</f>
        <v>111008.36</v>
      </c>
      <c r="AO26" s="4">
        <f>'2 полугодие'!AI26+'по статьям 1 полугодие'!AI26</f>
        <v>29873.730000000003</v>
      </c>
      <c r="AP26" s="15">
        <f t="shared" si="9"/>
        <v>140882.09</v>
      </c>
      <c r="AQ26" s="13">
        <f>'2 полугодие'!AK26+'по статьям 1 полугодие'!AK26</f>
        <v>3329.7</v>
      </c>
      <c r="AR26" s="13">
        <f t="shared" si="10"/>
        <v>2998.77</v>
      </c>
      <c r="AS26" s="13">
        <f>'2 полугодие'!AM26+'по статьям 1 полугодие'!AM26</f>
        <v>0</v>
      </c>
      <c r="AT26" s="13">
        <f>'2 полугодие'!AN26+'по статьям 1 полугодие'!AN26</f>
        <v>28871.193412622466</v>
      </c>
      <c r="AU26" s="13" t="e">
        <f>'2 полугодие'!#REF!+'по статьям 1 полугодие'!#REF!</f>
        <v>#REF!</v>
      </c>
      <c r="AV26" s="13" t="e">
        <f>'2 полугодие'!#REF!+'по статьям 1 полугодие'!#REF!</f>
        <v>#REF!</v>
      </c>
      <c r="AW26" s="13">
        <f>'2 полугодие'!AO26+'по статьям 1 полугодие'!AO26</f>
        <v>8934.759633629528</v>
      </c>
      <c r="AX26" s="13">
        <f>'2 полугодие'!AP26+'по статьям 1 полугодие'!AP26</f>
        <v>6452.881957621326</v>
      </c>
      <c r="AY26" s="13">
        <f>'2 полугодие'!AQ26+'по статьям 1 полугодие'!AQ26</f>
        <v>6121.220607883344</v>
      </c>
      <c r="AZ26" s="13">
        <f>'2 полугодие'!AR26+'по статьям 1 полугодие'!AR26</f>
        <v>3226.440978810663</v>
      </c>
      <c r="BA26" s="22" t="e">
        <f t="shared" si="11"/>
        <v>#REF!</v>
      </c>
      <c r="BB26" s="15">
        <f>'2 полугодие'!AT26+'по статьям 1 полугодие'!AT26</f>
        <v>31798.54523809524</v>
      </c>
      <c r="BC26" s="15" t="e">
        <f t="shared" si="12"/>
        <v>#REF!</v>
      </c>
      <c r="BD26" s="9" t="s">
        <v>29</v>
      </c>
    </row>
    <row r="27" spans="1:56" ht="15">
      <c r="A27" s="26">
        <v>22</v>
      </c>
      <c r="B27" s="9" t="s">
        <v>59</v>
      </c>
      <c r="C27" s="11">
        <v>736.1</v>
      </c>
      <c r="D27" s="87" t="e">
        <f t="shared" si="0"/>
        <v>#REF!</v>
      </c>
      <c r="E27" s="87">
        <f>('2 полугодие'!E64+'по статьям 1 полугодие'!E27)/2</f>
        <v>0.4781802744192365</v>
      </c>
      <c r="F27" s="87"/>
      <c r="G27" s="87">
        <v>2.85</v>
      </c>
      <c r="H27" s="87" t="e">
        <f t="shared" si="1"/>
        <v>#REF!</v>
      </c>
      <c r="I27" s="87">
        <v>0.26</v>
      </c>
      <c r="J27" s="87">
        <v>1.03</v>
      </c>
      <c r="K27" s="87">
        <v>0.78</v>
      </c>
      <c r="L27" s="87">
        <v>0.58</v>
      </c>
      <c r="M27" s="87">
        <v>0.39</v>
      </c>
      <c r="N27" s="109">
        <v>11.92</v>
      </c>
      <c r="O27" s="5">
        <v>3.56</v>
      </c>
      <c r="P27" s="196">
        <f t="shared" si="2"/>
        <v>15.48</v>
      </c>
      <c r="Q27" s="13" t="e">
        <f t="shared" si="3"/>
        <v>#REF!</v>
      </c>
      <c r="R27" s="13">
        <f>('2 полугодие'!P27+'по статьям 1 полугодие'!P27)</f>
        <v>4242.96</v>
      </c>
      <c r="S27" s="13">
        <f>'2 полугодие'!Q27+'по статьям 1 полугодие'!Q27</f>
        <v>0</v>
      </c>
      <c r="T27" s="13">
        <f>'2 полугодие'!R27+'по статьям 1 полугодие'!R27</f>
        <v>30832.133036682615</v>
      </c>
      <c r="U27" s="13" t="e">
        <f t="shared" si="4"/>
        <v>#REF!</v>
      </c>
      <c r="V27" s="13" t="e">
        <f>'2 полугодие'!#REF!+'по статьям 1 полугодие'!#REF!</f>
        <v>#REF!</v>
      </c>
      <c r="W27" s="13">
        <f>'2 полугодие'!S27+'по статьям 1 полугодие'!S27</f>
        <v>9541.2689569378</v>
      </c>
      <c r="X27" s="13">
        <f>'2 полугодие'!T27+'по статьям 1 полугодие'!T27</f>
        <v>6890.916468899522</v>
      </c>
      <c r="Y27" s="13">
        <f>'2 полугодие'!U27+'по статьям 1 полугодие'!U27</f>
        <v>6537.366059011165</v>
      </c>
      <c r="Z27" s="13">
        <f>'2 полугодие'!V27+'по статьям 1 полугодие'!V27</f>
        <v>3445.458234449761</v>
      </c>
      <c r="AA27" s="13">
        <f>'2 полугодие'!W27+'по статьям 1 полугодие'!W27</f>
        <v>112948.86800000002</v>
      </c>
      <c r="AB27" s="15">
        <f>'2 полугодие'!X27+'по статьям 1 полугодие'!X27</f>
        <v>33129.71</v>
      </c>
      <c r="AC27" s="15">
        <f t="shared" si="5"/>
        <v>146078.578</v>
      </c>
      <c r="AD27" s="13" t="e">
        <f t="shared" si="6"/>
        <v>#REF!</v>
      </c>
      <c r="AE27" s="13">
        <f t="shared" si="7"/>
        <v>4242.96</v>
      </c>
      <c r="AF27" s="13">
        <f>'2 полугодие'!AB27+'по статьям 1 полугодие'!AB27</f>
        <v>0</v>
      </c>
      <c r="AG27" s="13">
        <f>'2 полугодие'!AC27+'по статьям 1 полугодие'!AC27</f>
        <v>29356.535662102302</v>
      </c>
      <c r="AH27" s="13" t="e">
        <f t="shared" si="8"/>
        <v>#REF!</v>
      </c>
      <c r="AI27" s="13" t="e">
        <f>'2 полугодие'!#REF!+'по статьям 1 полугодие'!#REF!</f>
        <v>#REF!</v>
      </c>
      <c r="AJ27" s="13">
        <f>'2 полугодие'!AD27+'по статьям 1 полугодие'!AD27</f>
        <v>9100.450251645998</v>
      </c>
      <c r="AK27" s="13">
        <f>'2 полугодие'!AE27+'по статьям 1 полугодие'!AE27</f>
        <v>6572.547403966555</v>
      </c>
      <c r="AL27" s="13">
        <f>'2 полугодие'!AF27+'по статьям 1 полугодие'!AF27</f>
        <v>6206.441065287932</v>
      </c>
      <c r="AM27" s="13">
        <f>'2 полугодие'!AG27+'по статьям 1 полугодие'!AG27</f>
        <v>3286.2737019832775</v>
      </c>
      <c r="AN27" s="16">
        <f>'2 полугодие'!AH27+'по статьям 1 полугодие'!AH27</f>
        <v>107676.04000000001</v>
      </c>
      <c r="AO27" s="4">
        <f>'2 полугодие'!AI27+'по статьям 1 полугодие'!AI27</f>
        <v>32396.42</v>
      </c>
      <c r="AP27" s="15">
        <f t="shared" si="9"/>
        <v>140072.46000000002</v>
      </c>
      <c r="AQ27" s="13">
        <f>'2 полугодие'!AK27+'по статьям 1 полугодие'!AK27</f>
        <v>9443</v>
      </c>
      <c r="AR27" s="13">
        <f t="shared" si="10"/>
        <v>4242.96</v>
      </c>
      <c r="AS27" s="13">
        <f>'2 полугодие'!AM27+'по статьям 1 полугодие'!AM27</f>
        <v>0</v>
      </c>
      <c r="AT27" s="13">
        <f>'2 полугодие'!AN27+'по статьям 1 полугодие'!AN27</f>
        <v>29363.936225412013</v>
      </c>
      <c r="AU27" s="13" t="e">
        <f>'2 полугодие'!#REF!+'по статьям 1 полугодие'!#REF!</f>
        <v>#REF!</v>
      </c>
      <c r="AV27" s="13" t="e">
        <f>'2 полугодие'!#REF!+'по статьям 1 полугодие'!#REF!</f>
        <v>#REF!</v>
      </c>
      <c r="AW27" s="13">
        <f>'2 полугодие'!AO27+'по статьям 1 полугодие'!AO27</f>
        <v>9086.922816131239</v>
      </c>
      <c r="AX27" s="13">
        <f>'2 полугодие'!AP27+'по статьям 1 полугодие'!AP27</f>
        <v>6562.777589428116</v>
      </c>
      <c r="AY27" s="13">
        <f>'2 полугодие'!AQ27+'по статьям 1 полугодие'!AQ27</f>
        <v>6226.062913343966</v>
      </c>
      <c r="AZ27" s="13">
        <f>'2 полугодие'!AR27+'по статьям 1 полугодие'!AR27</f>
        <v>3281.388794714058</v>
      </c>
      <c r="BA27" s="22" t="e">
        <f t="shared" si="11"/>
        <v>#REF!</v>
      </c>
      <c r="BB27" s="15">
        <f>'2 полугодие'!AT27+'по статьям 1 полугодие'!AT27</f>
        <v>32340.783333333333</v>
      </c>
      <c r="BC27" s="15" t="e">
        <f t="shared" si="12"/>
        <v>#REF!</v>
      </c>
      <c r="BD27" s="9" t="s">
        <v>59</v>
      </c>
    </row>
    <row r="28" spans="1:56" ht="15">
      <c r="A28" s="26">
        <v>23</v>
      </c>
      <c r="B28" s="9" t="s">
        <v>60</v>
      </c>
      <c r="C28" s="11">
        <v>721.5</v>
      </c>
      <c r="D28" s="87" t="e">
        <f t="shared" si="0"/>
        <v>#REF!</v>
      </c>
      <c r="E28" s="87">
        <f>('2 полугодие'!E65+'по статьям 1 полугодие'!E28)/2</f>
        <v>0.37651074151074154</v>
      </c>
      <c r="F28" s="87"/>
      <c r="G28" s="87">
        <v>2.85</v>
      </c>
      <c r="H28" s="87" t="e">
        <f t="shared" si="1"/>
        <v>#REF!</v>
      </c>
      <c r="I28" s="87">
        <v>0.26</v>
      </c>
      <c r="J28" s="87">
        <v>1.03</v>
      </c>
      <c r="K28" s="87">
        <v>0.78</v>
      </c>
      <c r="L28" s="87">
        <v>0.58</v>
      </c>
      <c r="M28" s="87">
        <v>0.39</v>
      </c>
      <c r="N28" s="109">
        <v>11.92</v>
      </c>
      <c r="O28" s="5">
        <v>3.56</v>
      </c>
      <c r="P28" s="196">
        <f t="shared" si="2"/>
        <v>15.48</v>
      </c>
      <c r="Q28" s="13" t="e">
        <f t="shared" si="3"/>
        <v>#REF!</v>
      </c>
      <c r="R28" s="13">
        <f>('2 полугодие'!P28+'по статьям 1 полугодие'!P28)</f>
        <v>5852.58</v>
      </c>
      <c r="S28" s="13">
        <f>'2 полугодие'!Q28+'по статьям 1 полугодие'!Q28</f>
        <v>0</v>
      </c>
      <c r="T28" s="13">
        <f>'2 полугодие'!R28+'по статьям 1 полугодие'!R28</f>
        <v>30216.404401913875</v>
      </c>
      <c r="U28" s="13" t="e">
        <f t="shared" si="4"/>
        <v>#REF!</v>
      </c>
      <c r="V28" s="13" t="e">
        <f>'2 полугодие'!#REF!+'по статьям 1 полугодие'!#REF!</f>
        <v>#REF!</v>
      </c>
      <c r="W28" s="13">
        <f>'2 полугодие'!S28+'по статьям 1 полугодие'!S28</f>
        <v>9350.634832535887</v>
      </c>
      <c r="X28" s="13">
        <f>'2 полугодие'!T28+'по статьям 1 полугодие'!T28</f>
        <v>6753.236267942584</v>
      </c>
      <c r="Y28" s="13">
        <f>'2 полугодие'!U28+'по статьям 1 полугодие'!U28</f>
        <v>6406.917081339713</v>
      </c>
      <c r="Z28" s="13">
        <f>'2 полугодие'!V28+'по статьям 1 полугодие'!V28</f>
        <v>3376.618133971292</v>
      </c>
      <c r="AA28" s="13">
        <f>'2 полугодие'!W28+'по статьям 1 полугодие'!W28</f>
        <v>110692.47</v>
      </c>
      <c r="AB28" s="15">
        <f>'2 полугодие'!X28+'по статьям 1 полугодие'!X28</f>
        <v>32467.77</v>
      </c>
      <c r="AC28" s="15">
        <f t="shared" si="5"/>
        <v>143160.24</v>
      </c>
      <c r="AD28" s="13" t="e">
        <f t="shared" si="6"/>
        <v>#REF!</v>
      </c>
      <c r="AE28" s="13">
        <f t="shared" si="7"/>
        <v>5852.58</v>
      </c>
      <c r="AF28" s="13">
        <f>'2 полугодие'!AB28+'по статьям 1 полугодие'!AB28</f>
        <v>0</v>
      </c>
      <c r="AG28" s="13">
        <f>'2 полугодие'!AC28+'по статьям 1 полугодие'!AC28</f>
        <v>36879.615716240645</v>
      </c>
      <c r="AH28" s="13" t="e">
        <f t="shared" si="8"/>
        <v>#REF!</v>
      </c>
      <c r="AI28" s="13" t="e">
        <f>'2 полугодие'!#REF!+'по статьям 1 полугодие'!#REF!</f>
        <v>#REF!</v>
      </c>
      <c r="AJ28" s="13">
        <f>'2 полугодие'!AD28+'по статьям 1 полугодие'!AD28</f>
        <v>11377.48490696846</v>
      </c>
      <c r="AK28" s="13">
        <f>'2 полугодие'!AE28+'по статьям 1 полугодие'!AE28</f>
        <v>8217.072432810553</v>
      </c>
      <c r="AL28" s="13">
        <f>'2 полугодие'!AF28+'по статьям 1 полугодие'!AF28</f>
        <v>7859.827195791579</v>
      </c>
      <c r="AM28" s="13">
        <f>'2 полугодие'!AG28+'по статьям 1 полугодие'!AG28</f>
        <v>4108.536216405277</v>
      </c>
      <c r="AN28" s="16">
        <f>'2 полугодие'!AH28+'по статьям 1 полугодие'!AH28</f>
        <v>134807.13</v>
      </c>
      <c r="AO28" s="4">
        <f>'2 полугодие'!AI28+'по статьям 1 полугодие'!AI28</f>
        <v>35747.04</v>
      </c>
      <c r="AP28" s="15">
        <f t="shared" si="9"/>
        <v>170554.17</v>
      </c>
      <c r="AQ28" s="13">
        <f>'2 полугодие'!AK28+'по статьям 1 полугодие'!AK28</f>
        <v>0</v>
      </c>
      <c r="AR28" s="13">
        <f t="shared" si="10"/>
        <v>5852.58</v>
      </c>
      <c r="AS28" s="13">
        <f>'2 полугодие'!AM28+'по статьям 1 полугодие'!AM28</f>
        <v>0</v>
      </c>
      <c r="AT28" s="13">
        <f>'2 полугодие'!AN28+'по статьям 1 полугодие'!AN28</f>
        <v>28777.528001822735</v>
      </c>
      <c r="AU28" s="13" t="e">
        <f>'2 полугодие'!#REF!+'по статьям 1 полугодие'!#REF!</f>
        <v>#REF!</v>
      </c>
      <c r="AV28" s="13" t="e">
        <f>'2 полугодие'!#REF!+'по статьям 1 полугодие'!#REF!</f>
        <v>#REF!</v>
      </c>
      <c r="AW28" s="13">
        <f>'2 полугодие'!AO28+'по статьям 1 полугодие'!AO28</f>
        <v>8905.366507177034</v>
      </c>
      <c r="AX28" s="13">
        <f>'2 полугодие'!AP28+'по статьям 1 полугодие'!AP28</f>
        <v>6431.653588516747</v>
      </c>
      <c r="AY28" s="13">
        <f>'2 полугодие'!AQ28+'по статьям 1 полугодие'!AQ28</f>
        <v>6101.825791752108</v>
      </c>
      <c r="AZ28" s="13">
        <f>'2 полугодие'!AR28+'по статьям 1 полугодие'!AR28</f>
        <v>3215.8267942583734</v>
      </c>
      <c r="BA28" s="22" t="e">
        <f t="shared" si="11"/>
        <v>#REF!</v>
      </c>
      <c r="BB28" s="15">
        <f>'2 полугодие'!AT28+'по статьям 1 полугодие'!AT28</f>
        <v>31694.72142857143</v>
      </c>
      <c r="BC28" s="15" t="e">
        <f t="shared" si="12"/>
        <v>#REF!</v>
      </c>
      <c r="BD28" s="9" t="s">
        <v>60</v>
      </c>
    </row>
    <row r="29" spans="1:56" ht="15">
      <c r="A29" s="26">
        <v>24</v>
      </c>
      <c r="B29" s="9" t="s">
        <v>30</v>
      </c>
      <c r="C29" s="11">
        <v>742.94</v>
      </c>
      <c r="D29" s="87" t="e">
        <f t="shared" si="0"/>
        <v>#REF!</v>
      </c>
      <c r="E29" s="87">
        <f>('2 полугодие'!E66+'по статьям 1 полугодие'!E29)/2</f>
        <v>0.1499997756660475</v>
      </c>
      <c r="F29" s="87"/>
      <c r="G29" s="87">
        <v>2.85</v>
      </c>
      <c r="H29" s="87" t="e">
        <f t="shared" si="1"/>
        <v>#REF!</v>
      </c>
      <c r="I29" s="87">
        <v>0.26</v>
      </c>
      <c r="J29" s="87">
        <v>1.03</v>
      </c>
      <c r="K29" s="87">
        <v>0.78</v>
      </c>
      <c r="L29" s="87">
        <v>0.58</v>
      </c>
      <c r="M29" s="87">
        <v>0.39</v>
      </c>
      <c r="N29" s="109">
        <v>11.92</v>
      </c>
      <c r="O29" s="5">
        <v>3.56</v>
      </c>
      <c r="P29" s="196">
        <f t="shared" si="2"/>
        <v>15.48</v>
      </c>
      <c r="Q29" s="13" t="e">
        <f t="shared" si="3"/>
        <v>#REF!</v>
      </c>
      <c r="R29" s="13">
        <f>('2 полугодие'!P29+'по статьям 1 полугодие'!P29)</f>
        <v>3075.77</v>
      </c>
      <c r="S29" s="13">
        <f>'2 полугодие'!Q29+'по статьям 1 полугодие'!Q29</f>
        <v>0</v>
      </c>
      <c r="T29" s="13">
        <f>'2 полугодие'!R29+'по статьям 1 полугодие'!R29</f>
        <v>31136.82338373206</v>
      </c>
      <c r="U29" s="13" t="e">
        <f t="shared" si="4"/>
        <v>#REF!</v>
      </c>
      <c r="V29" s="13" t="e">
        <f>'2 полугодие'!#REF!+'по статьям 1 полугодие'!#REF!</f>
        <v>#REF!</v>
      </c>
      <c r="W29" s="13">
        <f>'2 полугодие'!S29+'по статьям 1 полугодие'!S29</f>
        <v>9635.955123444977</v>
      </c>
      <c r="X29" s="13">
        <f>'2 полугодие'!T29+'по статьям 1 полугодие'!T29</f>
        <v>6959.300922488039</v>
      </c>
      <c r="Y29" s="13">
        <f>'2 полугодие'!U29+'по статьям 1 полугодие'!U29</f>
        <v>6601.516608612441</v>
      </c>
      <c r="Z29" s="13">
        <f>'2 полугодие'!V29+'по статьям 1 полугодие'!V29</f>
        <v>3479.6504612440194</v>
      </c>
      <c r="AA29" s="13">
        <f>'2 полугодие'!W29+'по статьям 1 полугодие'!W29</f>
        <v>114068.3892</v>
      </c>
      <c r="AB29" s="15">
        <f>'2 полугодие'!X29+'по статьям 1 полугодие'!X29</f>
        <v>33458.490000000005</v>
      </c>
      <c r="AC29" s="15">
        <f t="shared" si="5"/>
        <v>147526.87920000002</v>
      </c>
      <c r="AD29" s="13" t="e">
        <f t="shared" si="6"/>
        <v>#REF!</v>
      </c>
      <c r="AE29" s="13">
        <f t="shared" si="7"/>
        <v>3075.77</v>
      </c>
      <c r="AF29" s="13">
        <f>'2 полугодие'!AB29+'по статьям 1 полугодие'!AB29</f>
        <v>0</v>
      </c>
      <c r="AG29" s="13">
        <f>'2 полугодие'!AC29+'по статьям 1 полугодие'!AC29</f>
        <v>36500.81095287405</v>
      </c>
      <c r="AH29" s="13" t="e">
        <f t="shared" si="8"/>
        <v>#REF!</v>
      </c>
      <c r="AI29" s="13" t="e">
        <f>'2 полугодие'!#REF!+'по статьям 1 полугодие'!#REF!</f>
        <v>#REF!</v>
      </c>
      <c r="AJ29" s="13">
        <f>'2 полугодие'!AD29+'по статьям 1 полугодие'!AD29</f>
        <v>11205.76545953945</v>
      </c>
      <c r="AK29" s="13">
        <f>'2 полугодие'!AE29+'по статьям 1 полугодие'!AE29</f>
        <v>8093.052831889603</v>
      </c>
      <c r="AL29" s="13">
        <f>'2 полугодие'!AF29+'по статьям 1 полугодие'!AF29</f>
        <v>7841.704307584876</v>
      </c>
      <c r="AM29" s="13">
        <f>'2 полугодие'!AG29+'по статьям 1 полугодие'!AG29</f>
        <v>4046.5264159448016</v>
      </c>
      <c r="AN29" s="16">
        <f>'2 полугодие'!AH29+'по статьям 1 полугодие'!AH29</f>
        <v>132961.91</v>
      </c>
      <c r="AO29" s="4">
        <f>'2 полугодие'!AI29+'по статьям 1 полугодие'!AI29</f>
        <v>32842.72</v>
      </c>
      <c r="AP29" s="15">
        <f t="shared" si="9"/>
        <v>165804.63</v>
      </c>
      <c r="AQ29" s="13">
        <f>'2 полугодие'!AK29+'по статьям 1 полугодие'!AK29</f>
        <v>9508.9</v>
      </c>
      <c r="AR29" s="13">
        <f t="shared" si="10"/>
        <v>3075.77</v>
      </c>
      <c r="AS29" s="13">
        <f>'2 полугодие'!AM29+'по статьям 1 полугодие'!AM29</f>
        <v>0</v>
      </c>
      <c r="AT29" s="13">
        <f>'2 полугодие'!AN29+'по статьям 1 полугодие'!AN29</f>
        <v>29654.117508316245</v>
      </c>
      <c r="AU29" s="13" t="e">
        <f>'2 полугодие'!#REF!+'по статьям 1 полугодие'!#REF!</f>
        <v>#REF!</v>
      </c>
      <c r="AV29" s="13" t="e">
        <f>'2 полугодие'!#REF!+'по статьям 1 полугодие'!#REF!</f>
        <v>#REF!</v>
      </c>
      <c r="AW29" s="13">
        <f>'2 полугодие'!AO29+'по статьям 1 полугодие'!AO29</f>
        <v>9177.100117566646</v>
      </c>
      <c r="AX29" s="13">
        <f>'2 полугодие'!AP29+'по статьям 1 полугодие'!AP29</f>
        <v>6627.905640464798</v>
      </c>
      <c r="AY29" s="13">
        <f>'2 полугодие'!AQ29+'по статьям 1 полугодие'!AQ29</f>
        <v>6287.158674868991</v>
      </c>
      <c r="AZ29" s="13">
        <f>'2 полугодие'!AR29+'по статьям 1 полугодие'!AR29</f>
        <v>3313.952820232399</v>
      </c>
      <c r="BA29" s="22" t="e">
        <f t="shared" si="11"/>
        <v>#REF!</v>
      </c>
      <c r="BB29" s="15">
        <f>'2 полугодие'!AT29+'по статьям 1 полугодие'!AT29</f>
        <v>32661.235714285714</v>
      </c>
      <c r="BC29" s="15" t="e">
        <f t="shared" si="12"/>
        <v>#REF!</v>
      </c>
      <c r="BD29" s="9" t="s">
        <v>30</v>
      </c>
    </row>
    <row r="30" spans="1:56" ht="15">
      <c r="A30" s="26">
        <v>25</v>
      </c>
      <c r="B30" s="9" t="s">
        <v>31</v>
      </c>
      <c r="C30" s="11">
        <v>731.55</v>
      </c>
      <c r="D30" s="87" t="e">
        <f t="shared" si="0"/>
        <v>#REF!</v>
      </c>
      <c r="E30" s="87">
        <f>('2 полугодие'!E67+'по статьям 1 полугодие'!E30)/2</f>
        <v>0.15016403526758254</v>
      </c>
      <c r="F30" s="87"/>
      <c r="G30" s="87">
        <v>2.85</v>
      </c>
      <c r="H30" s="87" t="e">
        <f t="shared" si="1"/>
        <v>#REF!</v>
      </c>
      <c r="I30" s="87">
        <v>0.26</v>
      </c>
      <c r="J30" s="87">
        <v>1.03</v>
      </c>
      <c r="K30" s="87">
        <v>0.78</v>
      </c>
      <c r="L30" s="87">
        <v>0.58</v>
      </c>
      <c r="M30" s="87">
        <v>0.39</v>
      </c>
      <c r="N30" s="109">
        <v>11.92</v>
      </c>
      <c r="O30" s="5">
        <v>3.56</v>
      </c>
      <c r="P30" s="196">
        <f t="shared" si="2"/>
        <v>15.48</v>
      </c>
      <c r="Q30" s="13" t="e">
        <f t="shared" si="3"/>
        <v>#REF!</v>
      </c>
      <c r="R30" s="13">
        <f>('2 полугодие'!P30+'по статьям 1 полугодие'!P30)</f>
        <v>3031.9300000000003</v>
      </c>
      <c r="S30" s="13">
        <f>'2 полугодие'!Q30+'по статьям 1 полугодие'!Q30</f>
        <v>0</v>
      </c>
      <c r="T30" s="13">
        <f>'2 полугодие'!R30+'по статьям 1 полугодие'!R30</f>
        <v>30637.52145454545</v>
      </c>
      <c r="U30" s="13" t="e">
        <f t="shared" si="4"/>
        <v>#REF!</v>
      </c>
      <c r="V30" s="13" t="e">
        <f>'2 полугодие'!#REF!+'по статьям 1 полугодие'!#REF!</f>
        <v>#REF!</v>
      </c>
      <c r="W30" s="13">
        <f>'2 полугодие'!S30+'по статьям 1 полугодие'!S30</f>
        <v>9480.956727272729</v>
      </c>
      <c r="X30" s="13">
        <f>'2 полугодие'!T30+'по статьям 1 полугодие'!T30</f>
        <v>6847.357636363637</v>
      </c>
      <c r="Y30" s="13">
        <f>'2 полугодие'!U30+'по статьям 1 полугодие'!U30</f>
        <v>6496.202818181818</v>
      </c>
      <c r="Z30" s="13">
        <f>'2 полугодие'!V30+'по статьям 1 полугодие'!V30</f>
        <v>3423.6788181818183</v>
      </c>
      <c r="AA30" s="13">
        <f>'2 полугодие'!W30+'по статьям 1 полугодие'!W30</f>
        <v>112235.199</v>
      </c>
      <c r="AB30" s="15">
        <f>'2 полугодие'!X30+'по статьям 1 полугодие'!X30</f>
        <v>32920.215</v>
      </c>
      <c r="AC30" s="15">
        <f t="shared" si="5"/>
        <v>145155.414</v>
      </c>
      <c r="AD30" s="13" t="e">
        <f t="shared" si="6"/>
        <v>#REF!</v>
      </c>
      <c r="AE30" s="13">
        <f t="shared" si="7"/>
        <v>3031.9300000000003</v>
      </c>
      <c r="AF30" s="13">
        <f>'2 полугодие'!AB30+'по статьям 1 полугодие'!AB30</f>
        <v>0</v>
      </c>
      <c r="AG30" s="13">
        <f>'2 полугодие'!AC30+'по статьям 1 полугодие'!AC30</f>
        <v>27492.68696262214</v>
      </c>
      <c r="AH30" s="13" t="e">
        <f t="shared" si="8"/>
        <v>#REF!</v>
      </c>
      <c r="AI30" s="13" t="e">
        <f>'2 полугодие'!#REF!+'по статьям 1 полугодие'!#REF!</f>
        <v>#REF!</v>
      </c>
      <c r="AJ30" s="13">
        <f>'2 полугодие'!AD30+'по статьям 1 полугодие'!AD30</f>
        <v>8512.607458973955</v>
      </c>
      <c r="AK30" s="13">
        <f>'2 полугодие'!AE30+'по статьям 1 полугодие'!AE30</f>
        <v>6147.994275925634</v>
      </c>
      <c r="AL30" s="13">
        <f>'2 полугодие'!AF30+'по статьям 1 полугодие'!AF30</f>
        <v>5823.868900696589</v>
      </c>
      <c r="AM30" s="13">
        <f>'2 полугодие'!AG30+'по статьям 1 полугодие'!AG30</f>
        <v>3073.997137962817</v>
      </c>
      <c r="AN30" s="16">
        <f>'2 полугодие'!AH30+'по статьям 1 полугодие'!AH30</f>
        <v>100755.265</v>
      </c>
      <c r="AO30" s="4">
        <f>'2 полугодие'!AI30+'по статьям 1 полугодие'!AI30</f>
        <v>31377.625</v>
      </c>
      <c r="AP30" s="15">
        <f t="shared" si="9"/>
        <v>132132.89</v>
      </c>
      <c r="AQ30" s="13">
        <f>'2 полугодие'!AK30+'по статьям 1 полугодие'!AK30</f>
        <v>3613.3</v>
      </c>
      <c r="AR30" s="13">
        <f t="shared" si="10"/>
        <v>3031.9300000000003</v>
      </c>
      <c r="AS30" s="13">
        <f>'2 полугодие'!AM30+'по статьям 1 полугодие'!AM30</f>
        <v>0</v>
      </c>
      <c r="AT30" s="13">
        <f>'2 полугодие'!AN30+'по статьям 1 полугодие'!AN30</f>
        <v>29178.59186147186</v>
      </c>
      <c r="AU30" s="13" t="e">
        <f>'2 полугодие'!#REF!+'по статьям 1 полугодие'!#REF!</f>
        <v>#REF!</v>
      </c>
      <c r="AV30" s="13" t="e">
        <f>'2 полугодие'!#REF!+'по статьям 1 полугодие'!#REF!</f>
        <v>#REF!</v>
      </c>
      <c r="AW30" s="13">
        <f>'2 полугодие'!AO30+'по статьям 1 полугодие'!AO30</f>
        <v>9029.482597402597</v>
      </c>
      <c r="AX30" s="13">
        <f>'2 полугодие'!AP30+'по статьям 1 полугодие'!AP30</f>
        <v>6521.2929870129865</v>
      </c>
      <c r="AY30" s="13">
        <f>'2 полугодие'!AQ30+'по статьям 1 полугодие'!AQ30</f>
        <v>6186.859826839826</v>
      </c>
      <c r="AZ30" s="13">
        <f>'2 полугодие'!AR30+'по статьям 1 полугодие'!AR30</f>
        <v>3260.6464935064932</v>
      </c>
      <c r="BA30" s="22" t="e">
        <f t="shared" si="11"/>
        <v>#REF!</v>
      </c>
      <c r="BB30" s="15">
        <f>'2 полугодие'!AT30+'по статьям 1 полугодие'!AT30</f>
        <v>32136.389285714286</v>
      </c>
      <c r="BC30" s="15" t="e">
        <f t="shared" si="12"/>
        <v>#REF!</v>
      </c>
      <c r="BD30" s="9" t="s">
        <v>31</v>
      </c>
    </row>
    <row r="31" spans="1:56" s="204" customFormat="1" ht="15">
      <c r="A31" s="39">
        <v>26</v>
      </c>
      <c r="B31" s="10" t="s">
        <v>148</v>
      </c>
      <c r="C31" s="11">
        <v>731.5</v>
      </c>
      <c r="D31" s="87" t="e">
        <f>N31-E31-F31-G31-H31-I31-J31-K31-L31-M31</f>
        <v>#REF!</v>
      </c>
      <c r="E31" s="87">
        <f>('2 полугодие'!E68+'по статьям 1 полугодие'!E31)/2</f>
        <v>0.15</v>
      </c>
      <c r="F31" s="87"/>
      <c r="G31" s="87">
        <v>2.85</v>
      </c>
      <c r="H31" s="87" t="e">
        <f t="shared" si="1"/>
        <v>#REF!</v>
      </c>
      <c r="I31" s="87">
        <v>0.26</v>
      </c>
      <c r="J31" s="87">
        <v>1.03</v>
      </c>
      <c r="K31" s="87">
        <v>0.78</v>
      </c>
      <c r="L31" s="87">
        <v>0.58</v>
      </c>
      <c r="M31" s="87">
        <v>0.39</v>
      </c>
      <c r="N31" s="109">
        <v>11.92</v>
      </c>
      <c r="O31" s="5">
        <v>3.56</v>
      </c>
      <c r="P31" s="196">
        <f t="shared" si="2"/>
        <v>15.48</v>
      </c>
      <c r="Q31" s="13" t="e">
        <f t="shared" si="3"/>
        <v>#REF!</v>
      </c>
      <c r="R31" s="13">
        <f>('2 полугодие'!P31+'по статьям 1 полугодие'!P31)</f>
        <v>3028.41</v>
      </c>
      <c r="S31" s="203">
        <f>'2 полугодие'!Q31+'по статьям 1 полугодие'!Q31</f>
        <v>0</v>
      </c>
      <c r="T31" s="13">
        <f>'2 полугодие'!R31+'по статьям 1 полугодие'!R31</f>
        <v>30524.05503987241</v>
      </c>
      <c r="U31" s="13" t="e">
        <f t="shared" si="4"/>
        <v>#REF!</v>
      </c>
      <c r="V31" s="13" t="e">
        <f>'2 полугодие'!#REF!+'по статьям 1 полугодие'!#REF!</f>
        <v>#REF!</v>
      </c>
      <c r="W31" s="13">
        <f>'2 полугодие'!S31+'по статьям 1 полугодие'!S31</f>
        <v>9443.41234449761</v>
      </c>
      <c r="X31" s="13">
        <f>'2 полугодие'!T31+'по статьям 1 полугодие'!T31</f>
        <v>6820.242248803829</v>
      </c>
      <c r="Y31" s="13">
        <f>'2 полугодие'!U31+'по статьям 1 полугодие'!U31</f>
        <v>6474.919194577353</v>
      </c>
      <c r="Z31" s="13">
        <f>'2 полугодие'!V31+'по статьям 1 полугодие'!V31</f>
        <v>3410.1211244019146</v>
      </c>
      <c r="AA31" s="13">
        <f>'2 полугодие'!W31+'по статьям 1 полугодие'!W31</f>
        <v>111799.12000000001</v>
      </c>
      <c r="AB31" s="15">
        <f>'2 полугодие'!X31+'по статьям 1 полугодие'!X31</f>
        <v>32790.01</v>
      </c>
      <c r="AC31" s="15">
        <f t="shared" si="5"/>
        <v>144589.13</v>
      </c>
      <c r="AD31" s="13" t="e">
        <f t="shared" si="6"/>
        <v>#REF!</v>
      </c>
      <c r="AE31" s="13">
        <f t="shared" si="7"/>
        <v>3028.41</v>
      </c>
      <c r="AF31" s="13">
        <f>'2 полугодие'!AB31+'по статьям 1 полугодие'!AB31</f>
        <v>0</v>
      </c>
      <c r="AG31" s="13">
        <f>'2 полугодие'!AC31+'по статьям 1 полугодие'!AC31</f>
        <v>30788.676082797516</v>
      </c>
      <c r="AH31" s="13" t="e">
        <f t="shared" si="8"/>
        <v>#REF!</v>
      </c>
      <c r="AI31" s="13" t="e">
        <f>'2 полугодие'!#REF!+'по статьям 1 полугодие'!#REF!</f>
        <v>#REF!</v>
      </c>
      <c r="AJ31" s="13">
        <f>'2 полугодие'!AD31+'по статьям 1 полугодие'!AD31</f>
        <v>9485.17773603058</v>
      </c>
      <c r="AK31" s="13">
        <f>'2 полугодие'!AE31+'по статьям 1 полугодие'!AE31</f>
        <v>6850.406142688753</v>
      </c>
      <c r="AL31" s="13">
        <f>'2 полугодие'!AF31+'по статьям 1 полугодие'!AF31</f>
        <v>6576.820587198477</v>
      </c>
      <c r="AM31" s="13">
        <f>'2 полугодие'!AG31+'по статьям 1 полугодие'!AG31</f>
        <v>3425.2030713443764</v>
      </c>
      <c r="AN31" s="16">
        <f>'2 полугодие'!AH31+'по статьям 1 полугодие'!AH31</f>
        <v>112431.65</v>
      </c>
      <c r="AO31" s="4">
        <f>'2 полугодие'!AI31+'по статьям 1 полугодие'!AI31</f>
        <v>31722.14</v>
      </c>
      <c r="AP31" s="15">
        <f t="shared" si="9"/>
        <v>144153.78999999998</v>
      </c>
      <c r="AQ31" s="13">
        <f>'2 полугодие'!AK31+'по статьям 1 полугодие'!AK31</f>
        <v>0</v>
      </c>
      <c r="AR31" s="13">
        <f t="shared" si="10"/>
        <v>3028.41</v>
      </c>
      <c r="AS31" s="13">
        <f>'2 полугодие'!AM31+'по статьям 1 полугодие'!AM31</f>
        <v>0</v>
      </c>
      <c r="AT31" s="13">
        <f>'2 полугодие'!AN31+'по статьям 1 полугодие'!AN31</f>
        <v>29070.528609402296</v>
      </c>
      <c r="AU31" s="13" t="e">
        <f>'2 полугодие'!#REF!+'по статьям 1 полугодие'!#REF!</f>
        <v>#REF!</v>
      </c>
      <c r="AV31" s="13" t="e">
        <f>'2 полугодие'!#REF!+'по статьям 1 полугодие'!#REF!</f>
        <v>#REF!</v>
      </c>
      <c r="AW31" s="13">
        <f>'2 полугодие'!AO31+'по статьям 1 полугодие'!AO31</f>
        <v>8993.726042378676</v>
      </c>
      <c r="AX31" s="13">
        <f>'2 полугодие'!AP31+'по статьям 1 полугодие'!AP31</f>
        <v>6495.4688083845995</v>
      </c>
      <c r="AY31" s="13">
        <f>'2 полугодие'!AQ31+'по статьям 1 полугодие'!AQ31</f>
        <v>6166.589709121288</v>
      </c>
      <c r="AZ31" s="13">
        <f>'2 полугодие'!AR31+'по статьям 1 полугодие'!AR31</f>
        <v>3247.7344041922997</v>
      </c>
      <c r="BA31" s="22" t="e">
        <f t="shared" si="11"/>
        <v>#REF!</v>
      </c>
      <c r="BB31" s="15">
        <f>'2 полугодие'!AT31+'по статьям 1 полугодие'!AT31</f>
        <v>32012.33095238095</v>
      </c>
      <c r="BC31" s="15" t="e">
        <f t="shared" si="12"/>
        <v>#REF!</v>
      </c>
      <c r="BD31" s="10" t="s">
        <v>148</v>
      </c>
    </row>
    <row r="32" spans="1:56" ht="15">
      <c r="A32" s="207">
        <v>27</v>
      </c>
      <c r="B32" s="208" t="s">
        <v>147</v>
      </c>
      <c r="C32" s="209">
        <v>296.9</v>
      </c>
      <c r="D32" s="171" t="e">
        <f>N32-E32-F32-G32-H32-I32-J32-K32-L32-M32</f>
        <v>#REF!</v>
      </c>
      <c r="E32" s="171">
        <f>('2 полугодие'!E69+'по статьям 1 полугодие'!E32)/2</f>
        <v>0.15</v>
      </c>
      <c r="F32" s="171">
        <v>7.34</v>
      </c>
      <c r="G32" s="171">
        <v>2.85</v>
      </c>
      <c r="H32" s="171" t="e">
        <f t="shared" si="1"/>
        <v>#REF!</v>
      </c>
      <c r="I32" s="171">
        <v>0.26</v>
      </c>
      <c r="J32" s="171">
        <v>1.03</v>
      </c>
      <c r="K32" s="171">
        <v>0.78</v>
      </c>
      <c r="L32" s="171">
        <v>0.58</v>
      </c>
      <c r="M32" s="171">
        <v>0.39</v>
      </c>
      <c r="N32" s="210">
        <v>14.24</v>
      </c>
      <c r="O32" s="174">
        <v>3.56</v>
      </c>
      <c r="P32" s="211">
        <f t="shared" si="2"/>
        <v>17.8</v>
      </c>
      <c r="Q32" s="203" t="e">
        <f t="shared" si="3"/>
        <v>#REF!</v>
      </c>
      <c r="R32" s="203">
        <f>('2 полугодие'!P32+'по статьям 1 полугодие'!P32)</f>
        <v>1229.17</v>
      </c>
      <c r="S32" s="203">
        <f>'2 полугодие'!Q32+'по статьям 1 полугодие'!Q32</f>
        <v>30423.492096128164</v>
      </c>
      <c r="T32" s="203">
        <f>'2 полугодие'!R32+'по статьям 1 полугодие'!R32</f>
        <v>13955.94522296395</v>
      </c>
      <c r="U32" s="203" t="e">
        <f t="shared" si="4"/>
        <v>#REF!</v>
      </c>
      <c r="V32" s="203" t="e">
        <f>'2 полугодие'!#REF!+'по статьям 1 полугодие'!#REF!</f>
        <v>#REF!</v>
      </c>
      <c r="W32" s="203">
        <f>'2 полугодие'!S32+'по статьям 1 полугодие'!S32</f>
        <v>4351.969730307076</v>
      </c>
      <c r="X32" s="203">
        <f>'2 полугодие'!T32+'по статьям 1 полугодие'!T32</f>
        <v>3143.089249666222</v>
      </c>
      <c r="Y32" s="203">
        <f>'2 полугодие'!U32+'по статьям 1 полугодие'!U32</f>
        <v>2921.220977303071</v>
      </c>
      <c r="Z32" s="203">
        <f>'2 полугодие'!V32+'по статьям 1 полугодие'!V32</f>
        <v>1571.544624833111</v>
      </c>
      <c r="AA32" s="203">
        <f>'2 полугодие'!W32+'по статьям 1 полугодие'!W32</f>
        <v>61396.64399999999</v>
      </c>
      <c r="AB32" s="212">
        <f>'2 полугодие'!X32+'по статьям 1 полугодие'!X32</f>
        <v>15111.15</v>
      </c>
      <c r="AC32" s="212">
        <f t="shared" si="5"/>
        <v>76507.794</v>
      </c>
      <c r="AD32" s="203" t="e">
        <f t="shared" si="6"/>
        <v>#REF!</v>
      </c>
      <c r="AE32" s="203">
        <f t="shared" si="7"/>
        <v>1229.17</v>
      </c>
      <c r="AF32" s="203">
        <f>'2 полугодие'!AB32+'по статьям 1 полугодие'!AB32</f>
        <v>35250.34545919838</v>
      </c>
      <c r="AG32" s="203">
        <f>'2 полугодие'!AC32+'по статьям 1 полугодие'!AC32</f>
        <v>16367.80751404615</v>
      </c>
      <c r="AH32" s="203" t="e">
        <f t="shared" si="8"/>
        <v>#REF!</v>
      </c>
      <c r="AI32" s="203" t="e">
        <f>'2 полугодие'!#REF!+'по статьям 1 полугодие'!#REF!</f>
        <v>#REF!</v>
      </c>
      <c r="AJ32" s="203">
        <f>'2 полугодие'!AD32+'по статьям 1 полугодие'!AD32</f>
        <v>5042.433522640299</v>
      </c>
      <c r="AK32" s="203">
        <f>'2 полугодие'!AE32+'по статьям 1 полугодие'!AE32</f>
        <v>3641.7575441291046</v>
      </c>
      <c r="AL32" s="203">
        <f>'2 полугодие'!AF32+'по статьям 1 полугодие'!AF32</f>
        <v>3496.418161447483</v>
      </c>
      <c r="AM32" s="203">
        <f>'2 полугодие'!AG32+'по статьям 1 полугодие'!AG32</f>
        <v>1820.8787720645523</v>
      </c>
      <c r="AN32" s="213">
        <f>'2 полугодие'!AH32+'по статьям 1 полугодие'!AH32</f>
        <v>71386.8</v>
      </c>
      <c r="AO32" s="214">
        <f>'2 полугодие'!AI32+'по статьям 1 полугодие'!AI32</f>
        <v>14712.98</v>
      </c>
      <c r="AP32" s="212">
        <f t="shared" si="9"/>
        <v>86099.78</v>
      </c>
      <c r="AQ32" s="203">
        <f>'2 полугодие'!AK32+'по статьям 1 полугодие'!AK32</f>
        <v>1057</v>
      </c>
      <c r="AR32" s="203">
        <f t="shared" si="10"/>
        <v>1229.17</v>
      </c>
      <c r="AS32" s="203">
        <f>'2 полугодие'!AM32+'по статьям 1 полугодие'!AM32</f>
        <v>13449.569999999996</v>
      </c>
      <c r="AT32" s="203">
        <f>'2 полугодие'!AN32+'по статьям 1 полугодие'!AN32</f>
        <v>13291.37640282281</v>
      </c>
      <c r="AU32" s="203" t="e">
        <f>'2 полугодие'!#REF!+'по статьям 1 полугодие'!#REF!</f>
        <v>#REF!</v>
      </c>
      <c r="AV32" s="203" t="e">
        <f>'2 полугодие'!#REF!+'по статьям 1 полугодие'!#REF!</f>
        <v>#REF!</v>
      </c>
      <c r="AW32" s="203">
        <f>'2 полугодие'!AO32+'по статьям 1 полугодие'!AO32</f>
        <v>4144.733076482929</v>
      </c>
      <c r="AX32" s="203">
        <f>'2 полугодие'!AP32+'по статьям 1 полугодие'!AP32</f>
        <v>2993.418333015449</v>
      </c>
      <c r="AY32" s="203">
        <f>'2 полугодие'!AQ32+'по статьям 1 полугодие'!AQ32</f>
        <v>2782.1152164791147</v>
      </c>
      <c r="AZ32" s="203">
        <f>'2 полугодие'!AR32+'по статьям 1 полугодие'!AR32</f>
        <v>1496.7091665077246</v>
      </c>
      <c r="BA32" s="215" t="e">
        <f t="shared" si="11"/>
        <v>#REF!</v>
      </c>
      <c r="BB32" s="212">
        <f>'2 полугодие'!AT32+'по статьям 1 полугодие'!AT32</f>
        <v>14709.67857142857</v>
      </c>
      <c r="BC32" s="212" t="e">
        <f t="shared" si="12"/>
        <v>#REF!</v>
      </c>
      <c r="BD32" s="208" t="s">
        <v>147</v>
      </c>
    </row>
    <row r="33" spans="1:56" ht="15">
      <c r="A33" s="26">
        <v>28</v>
      </c>
      <c r="B33" s="9" t="s">
        <v>32</v>
      </c>
      <c r="C33" s="11">
        <v>368.33</v>
      </c>
      <c r="D33" s="87" t="e">
        <f t="shared" si="0"/>
        <v>#REF!</v>
      </c>
      <c r="E33" s="87">
        <f>('2 полугодие'!E70+'по статьям 1 полугодие'!E34)/2</f>
        <v>0.6777808102862689</v>
      </c>
      <c r="F33" s="87"/>
      <c r="G33" s="87">
        <v>2.85</v>
      </c>
      <c r="H33" s="87" t="e">
        <f t="shared" si="1"/>
        <v>#REF!</v>
      </c>
      <c r="I33" s="87">
        <v>0.26</v>
      </c>
      <c r="J33" s="87">
        <v>1.03</v>
      </c>
      <c r="K33" s="87">
        <v>0.78</v>
      </c>
      <c r="L33" s="87">
        <v>0.58</v>
      </c>
      <c r="M33" s="87">
        <v>0.39</v>
      </c>
      <c r="N33" s="109">
        <v>11.92</v>
      </c>
      <c r="O33" s="5">
        <v>3.56</v>
      </c>
      <c r="P33" s="196">
        <f t="shared" si="2"/>
        <v>15.48</v>
      </c>
      <c r="Q33" s="13" t="e">
        <f t="shared" si="3"/>
        <v>#REF!</v>
      </c>
      <c r="R33" s="13">
        <f>('2 полугодие'!P34+'по статьям 1 полугодие'!P34)</f>
        <v>10033.61</v>
      </c>
      <c r="S33" s="13">
        <f>'2 полугодие'!Q34+'по статьям 1 полугодие'!Q34</f>
        <v>0</v>
      </c>
      <c r="T33" s="13">
        <f>'2 полугодие'!R34+'по статьям 1 полугодие'!R34</f>
        <v>15425.694403827752</v>
      </c>
      <c r="U33" s="13" t="e">
        <f t="shared" si="4"/>
        <v>#REF!</v>
      </c>
      <c r="V33" s="13" t="e">
        <f>'2 полугодие'!#REF!+'по статьям 1 полугодие'!#REF!</f>
        <v>#REF!</v>
      </c>
      <c r="W33" s="13">
        <f>'2 полугодие'!S34+'по статьям 1 полугодие'!S34</f>
        <v>4773.568065071771</v>
      </c>
      <c r="X33" s="13">
        <f>'2 полугодие'!T34+'по статьям 1 полугодие'!T34</f>
        <v>3447.5769358851676</v>
      </c>
      <c r="Y33" s="13">
        <f>'2 полугодие'!U34+'по статьям 1 полугодие'!U34</f>
        <v>3270.7767626794257</v>
      </c>
      <c r="Z33" s="13">
        <f>'2 полугодие'!V34+'по статьям 1 полугодие'!V34</f>
        <v>1723.7884679425838</v>
      </c>
      <c r="AA33" s="13">
        <f>'2 полугодие'!W34+'по статьям 1 полугодие'!W34</f>
        <v>56509.3194</v>
      </c>
      <c r="AB33" s="15">
        <f>'2 полугодие'!X34+'по статьям 1 полугодие'!X34</f>
        <v>16575.045</v>
      </c>
      <c r="AC33" s="15">
        <f t="shared" si="5"/>
        <v>73084.36439999999</v>
      </c>
      <c r="AD33" s="13" t="e">
        <f t="shared" si="6"/>
        <v>#REF!</v>
      </c>
      <c r="AE33" s="13">
        <f t="shared" si="7"/>
        <v>10033.61</v>
      </c>
      <c r="AF33" s="13">
        <f>'2 полугодие'!AB34+'по статьям 1 полугодие'!AB34</f>
        <v>0</v>
      </c>
      <c r="AG33" s="13">
        <f>'2 полугодие'!AC34+'по статьям 1 полугодие'!AC34</f>
        <v>2280.3949533220484</v>
      </c>
      <c r="AH33" s="13" t="e">
        <f t="shared" si="8"/>
        <v>#REF!</v>
      </c>
      <c r="AI33" s="13" t="e">
        <f>'2 полугодие'!#REF!+'по статьям 1 полугодие'!#REF!</f>
        <v>#REF!</v>
      </c>
      <c r="AJ33" s="13">
        <f>'2 полугодие'!AD34+'по статьям 1 полугодие'!AD34</f>
        <v>739.0300366103988</v>
      </c>
      <c r="AK33" s="13">
        <f>'2 полугодие'!AE34+'по статьям 1 полугодие'!AE34</f>
        <v>533.7439153297324</v>
      </c>
      <c r="AL33" s="13">
        <f>'2 полугодие'!AF34+'по статьям 1 полугодие'!AF34</f>
        <v>445.46069270276803</v>
      </c>
      <c r="AM33" s="13">
        <f>'2 полугодие'!AG34+'по статьям 1 полугодие'!AG34</f>
        <v>266.8719576648662</v>
      </c>
      <c r="AN33" s="16">
        <f>'2 полугодие'!AH34+'по статьям 1 полугодие'!AH34</f>
        <v>8633.815000000002</v>
      </c>
      <c r="AO33" s="4">
        <f>'2 полугодие'!AI34+'по статьям 1 полугодие'!AI34</f>
        <v>10304.644999999999</v>
      </c>
      <c r="AP33" s="15">
        <f t="shared" si="9"/>
        <v>18938.46</v>
      </c>
      <c r="AQ33" s="13">
        <f>'2 полугодие'!AK34+'по статьям 1 полугодие'!AK34</f>
        <v>3382</v>
      </c>
      <c r="AR33" s="13">
        <f t="shared" si="10"/>
        <v>10033.61</v>
      </c>
      <c r="AS33" s="13">
        <f>'2 полугодие'!AM34+'по статьям 1 полугодие'!AM34</f>
        <v>0</v>
      </c>
      <c r="AT33" s="13">
        <f>'2 полугодие'!AN34+'по статьям 1 полугодие'!AN34</f>
        <v>14691.137527455001</v>
      </c>
      <c r="AU33" s="13" t="e">
        <f>'2 полугодие'!#REF!+'по статьям 1 полугодие'!#REF!</f>
        <v>#REF!</v>
      </c>
      <c r="AV33" s="13" t="e">
        <f>'2 полугодие'!#REF!+'по статьям 1 полугодие'!#REF!</f>
        <v>#REF!</v>
      </c>
      <c r="AW33" s="13">
        <f>'2 полугодие'!AO34+'по статьям 1 полугодие'!AO34</f>
        <v>4546.255300068353</v>
      </c>
      <c r="AX33" s="13">
        <f>'2 полугодие'!AP34+'по статьям 1 полугодие'!AP34</f>
        <v>3283.4066056049214</v>
      </c>
      <c r="AY33" s="13">
        <f>'2 полугодие'!AQ34+'по статьям 1 полугодие'!AQ34</f>
        <v>3115.02548826612</v>
      </c>
      <c r="AZ33" s="13">
        <f>'2 полугодие'!AR34+'по статьям 1 полугодие'!AR34</f>
        <v>1641.7033028024607</v>
      </c>
      <c r="BA33" s="22" t="e">
        <f t="shared" si="11"/>
        <v>#REF!</v>
      </c>
      <c r="BB33" s="15">
        <f>'2 полугодие'!AT34+'по статьям 1 полугодие'!AT34</f>
        <v>16180.396428571428</v>
      </c>
      <c r="BC33" s="15" t="e">
        <f t="shared" si="12"/>
        <v>#REF!</v>
      </c>
      <c r="BD33" s="9" t="s">
        <v>32</v>
      </c>
    </row>
    <row r="34" spans="1:56" ht="15">
      <c r="A34" s="26">
        <v>29</v>
      </c>
      <c r="B34" s="9" t="s">
        <v>33</v>
      </c>
      <c r="C34" s="11">
        <v>373.19</v>
      </c>
      <c r="D34" s="87" t="e">
        <f t="shared" si="0"/>
        <v>#REF!</v>
      </c>
      <c r="E34" s="87">
        <f>('2 полугодие'!E71+'по статьям 1 полугодие'!E35)/2</f>
        <v>0.18777958519723462</v>
      </c>
      <c r="F34" s="87"/>
      <c r="G34" s="87">
        <v>2.85</v>
      </c>
      <c r="H34" s="87" t="e">
        <f t="shared" si="1"/>
        <v>#REF!</v>
      </c>
      <c r="I34" s="87">
        <v>0.26</v>
      </c>
      <c r="J34" s="87">
        <v>1.03</v>
      </c>
      <c r="K34" s="87">
        <v>0.78</v>
      </c>
      <c r="L34" s="87">
        <v>0.58</v>
      </c>
      <c r="M34" s="87">
        <v>0.39</v>
      </c>
      <c r="N34" s="109">
        <v>11.92</v>
      </c>
      <c r="O34" s="5">
        <v>3.56</v>
      </c>
      <c r="P34" s="196">
        <f t="shared" si="2"/>
        <v>15.48</v>
      </c>
      <c r="Q34" s="13" t="e">
        <f t="shared" si="3"/>
        <v>#REF!</v>
      </c>
      <c r="R34" s="13">
        <f>('2 полугодие'!P35+'по статьям 1 полугодие'!P35)</f>
        <v>1525.08</v>
      </c>
      <c r="S34" s="13">
        <f>'2 полугодие'!Q35+'по статьям 1 полугодие'!Q35</f>
        <v>0</v>
      </c>
      <c r="T34" s="13">
        <f>'2 полугодие'!R35+'по статьям 1 полугодие'!R35</f>
        <v>15629.20874258373</v>
      </c>
      <c r="U34" s="13" t="e">
        <f t="shared" si="4"/>
        <v>#REF!</v>
      </c>
      <c r="V34" s="13" t="e">
        <f>'2 полугодие'!#REF!+'по статьям 1 полугодие'!#REF!</f>
        <v>#REF!</v>
      </c>
      <c r="W34" s="13">
        <f>'2 полугодие'!S35+'по статьям 1 полугодие'!S35</f>
        <v>4836.546223923446</v>
      </c>
      <c r="X34" s="13">
        <f>'2 полугодие'!T35+'по статьям 1 полугодие'!T35</f>
        <v>3493.061161722488</v>
      </c>
      <c r="Y34" s="13">
        <f>'2 полугодие'!U35+'по статьям 1 полугодие'!U35</f>
        <v>3313.9293598086124</v>
      </c>
      <c r="Z34" s="13">
        <f>'2 полугодие'!V35+'по статьям 1 полугодие'!V35</f>
        <v>1746.530580861244</v>
      </c>
      <c r="AA34" s="13">
        <f>'2 полугодие'!W35+'по статьям 1 полугодие'!W35</f>
        <v>57254.8542</v>
      </c>
      <c r="AB34" s="15">
        <f>'2 полугодие'!X35+'по статьям 1 полугодие'!X35</f>
        <v>16793.715000000004</v>
      </c>
      <c r="AC34" s="15">
        <f t="shared" si="5"/>
        <v>74048.5692</v>
      </c>
      <c r="AD34" s="13" t="e">
        <f t="shared" si="6"/>
        <v>#REF!</v>
      </c>
      <c r="AE34" s="13">
        <f t="shared" si="7"/>
        <v>1525.08</v>
      </c>
      <c r="AF34" s="13">
        <f>'2 полугодие'!AB35+'по статьям 1 полугодие'!AB35</f>
        <v>0</v>
      </c>
      <c r="AG34" s="13">
        <f>'2 полугодие'!AC35+'по статьям 1 полугодие'!AC35</f>
        <v>15164.382981379003</v>
      </c>
      <c r="AH34" s="13" t="e">
        <f t="shared" si="8"/>
        <v>#REF!</v>
      </c>
      <c r="AI34" s="13" t="e">
        <f>'2 полугодие'!#REF!+'по статьям 1 полугодие'!#REF!</f>
        <v>#REF!</v>
      </c>
      <c r="AJ34" s="13">
        <f>'2 полугодие'!AD35+'по статьям 1 полугодие'!AD35</f>
        <v>4673.880407157571</v>
      </c>
      <c r="AK34" s="13">
        <f>'2 полугодие'!AE35+'по статьям 1 полугодие'!AE35</f>
        <v>3375.580294058246</v>
      </c>
      <c r="AL34" s="13">
        <f>'2 полугодие'!AF35+'по статьям 1 полугодие'!AF35</f>
        <v>3236.8529595669906</v>
      </c>
      <c r="AM34" s="13">
        <f>'2 полугодие'!AG35+'по статьям 1 полугодие'!AG35</f>
        <v>1687.790147029123</v>
      </c>
      <c r="AN34" s="16">
        <f>'2 полугодие'!AH35+'по статьям 1 полугодие'!AH35</f>
        <v>55394.015</v>
      </c>
      <c r="AO34" s="4">
        <f>'2 полугодие'!AI35+'по статьям 1 полугодие'!AI35</f>
        <v>15880.525000000001</v>
      </c>
      <c r="AP34" s="15">
        <f t="shared" si="9"/>
        <v>71274.54000000001</v>
      </c>
      <c r="AQ34" s="13">
        <f>'2 полугодие'!AK35+'по статьям 1 полугодие'!AK35</f>
        <v>2686.8</v>
      </c>
      <c r="AR34" s="13">
        <f t="shared" si="10"/>
        <v>1525.08</v>
      </c>
      <c r="AS34" s="13">
        <f>'2 полугодие'!AM35+'по статьям 1 полугодие'!AM35</f>
        <v>0</v>
      </c>
      <c r="AT34" s="13">
        <f>'2 полугодие'!AN35+'по статьям 1 полугодие'!AN35</f>
        <v>14884.9607072226</v>
      </c>
      <c r="AU34" s="13" t="e">
        <f>'2 полугодие'!#REF!+'по статьям 1 полугодие'!#REF!</f>
        <v>#REF!</v>
      </c>
      <c r="AV34" s="13" t="e">
        <f>'2 полугодие'!#REF!+'по статьям 1 полугодие'!#REF!</f>
        <v>#REF!</v>
      </c>
      <c r="AW34" s="13">
        <f>'2 полугодие'!AO35+'по статьям 1 полугодие'!AO35</f>
        <v>4606.23449897471</v>
      </c>
      <c r="AX34" s="13">
        <f>'2 полугодие'!AP35+'по статьям 1 полугодие'!AP35</f>
        <v>3326.724915926179</v>
      </c>
      <c r="AY34" s="13">
        <f>'2 полугодие'!AQ35+'по статьям 1 полугодие'!AQ35</f>
        <v>3156.1231998177263</v>
      </c>
      <c r="AZ34" s="13">
        <f>'2 полугодие'!AR35+'по статьям 1 полугодие'!AR35</f>
        <v>1663.3624579630896</v>
      </c>
      <c r="BA34" s="22" t="e">
        <f t="shared" si="11"/>
        <v>#REF!</v>
      </c>
      <c r="BB34" s="15">
        <f>'2 полугодие'!AT35+'по статьям 1 полугодие'!AT35</f>
        <v>16393.860714285714</v>
      </c>
      <c r="BC34" s="15" t="e">
        <f t="shared" si="12"/>
        <v>#REF!</v>
      </c>
      <c r="BD34" s="9" t="s">
        <v>33</v>
      </c>
    </row>
    <row r="35" spans="1:56" ht="12.75" customHeight="1">
      <c r="A35" s="23"/>
      <c r="B35" s="225" t="s">
        <v>0</v>
      </c>
      <c r="C35" s="225" t="s">
        <v>1</v>
      </c>
      <c r="D35" s="232" t="s">
        <v>8</v>
      </c>
      <c r="E35" s="233"/>
      <c r="F35" s="233"/>
      <c r="G35" s="233"/>
      <c r="H35" s="233"/>
      <c r="I35" s="233"/>
      <c r="J35" s="233"/>
      <c r="K35" s="233"/>
      <c r="L35" s="233"/>
      <c r="M35" s="233"/>
      <c r="N35" s="5"/>
      <c r="O35" s="237" t="s">
        <v>118</v>
      </c>
      <c r="P35" s="162"/>
      <c r="Q35" s="224" t="s">
        <v>81</v>
      </c>
      <c r="R35" s="224"/>
      <c r="S35" s="224"/>
      <c r="T35" s="224"/>
      <c r="U35" s="224"/>
      <c r="V35" s="224"/>
      <c r="W35" s="224"/>
      <c r="X35" s="224"/>
      <c r="Y35" s="224"/>
      <c r="Z35" s="224"/>
      <c r="AA35" s="4"/>
      <c r="AB35" s="225" t="s">
        <v>3</v>
      </c>
      <c r="AC35" s="162"/>
      <c r="AD35" s="227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9"/>
      <c r="BC35" s="62"/>
      <c r="BD35" s="225" t="s">
        <v>0</v>
      </c>
    </row>
    <row r="36" spans="1:56" ht="12.75" customHeight="1">
      <c r="A36" s="25"/>
      <c r="B36" s="226"/>
      <c r="C36" s="226"/>
      <c r="D36" s="238"/>
      <c r="E36" s="239"/>
      <c r="F36" s="239"/>
      <c r="G36" s="239"/>
      <c r="H36" s="239"/>
      <c r="I36" s="239"/>
      <c r="J36" s="239"/>
      <c r="K36" s="239"/>
      <c r="L36" s="239"/>
      <c r="M36" s="239"/>
      <c r="N36" s="5"/>
      <c r="O36" s="229"/>
      <c r="P36" s="16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4"/>
      <c r="AB36" s="226"/>
      <c r="AC36" s="164"/>
      <c r="AD36" s="227" t="s">
        <v>9</v>
      </c>
      <c r="AE36" s="228"/>
      <c r="AF36" s="228"/>
      <c r="AG36" s="228"/>
      <c r="AH36" s="228"/>
      <c r="AI36" s="228"/>
      <c r="AJ36" s="228"/>
      <c r="AK36" s="228"/>
      <c r="AL36" s="228"/>
      <c r="AM36" s="228"/>
      <c r="AN36" s="229"/>
      <c r="AO36" s="225" t="s">
        <v>5</v>
      </c>
      <c r="AP36" s="162"/>
      <c r="AQ36" s="230" t="s">
        <v>4</v>
      </c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24" t="s">
        <v>158</v>
      </c>
      <c r="BC36" s="146"/>
      <c r="BD36" s="226"/>
    </row>
    <row r="37" spans="1:56" ht="92.25">
      <c r="A37" s="24" t="s">
        <v>65</v>
      </c>
      <c r="B37" s="230"/>
      <c r="C37" s="224"/>
      <c r="D37" s="83" t="s">
        <v>89</v>
      </c>
      <c r="E37" s="84" t="s">
        <v>84</v>
      </c>
      <c r="F37" s="84" t="s">
        <v>90</v>
      </c>
      <c r="G37" s="84" t="s">
        <v>91</v>
      </c>
      <c r="H37" s="84" t="s">
        <v>145</v>
      </c>
      <c r="I37" s="84" t="s">
        <v>146</v>
      </c>
      <c r="J37" s="84" t="s">
        <v>92</v>
      </c>
      <c r="K37" s="84" t="s">
        <v>93</v>
      </c>
      <c r="L37" s="84" t="s">
        <v>83</v>
      </c>
      <c r="M37" s="84" t="s">
        <v>94</v>
      </c>
      <c r="N37" s="85" t="s">
        <v>70</v>
      </c>
      <c r="O37" s="230"/>
      <c r="P37" s="143" t="s">
        <v>136</v>
      </c>
      <c r="Q37" s="83" t="s">
        <v>89</v>
      </c>
      <c r="R37" s="84" t="s">
        <v>84</v>
      </c>
      <c r="S37" s="84" t="s">
        <v>90</v>
      </c>
      <c r="T37" s="84" t="s">
        <v>91</v>
      </c>
      <c r="U37" s="84" t="s">
        <v>145</v>
      </c>
      <c r="V37" s="84" t="s">
        <v>146</v>
      </c>
      <c r="W37" s="84" t="s">
        <v>92</v>
      </c>
      <c r="X37" s="84" t="s">
        <v>93</v>
      </c>
      <c r="Y37" s="84" t="s">
        <v>83</v>
      </c>
      <c r="Z37" s="84" t="s">
        <v>94</v>
      </c>
      <c r="AA37" s="4" t="s">
        <v>70</v>
      </c>
      <c r="AB37" s="224"/>
      <c r="AC37" s="143" t="s">
        <v>151</v>
      </c>
      <c r="AD37" s="83" t="s">
        <v>89</v>
      </c>
      <c r="AE37" s="84" t="s">
        <v>84</v>
      </c>
      <c r="AF37" s="84" t="s">
        <v>90</v>
      </c>
      <c r="AG37" s="84" t="s">
        <v>91</v>
      </c>
      <c r="AH37" s="84" t="s">
        <v>145</v>
      </c>
      <c r="AI37" s="84" t="s">
        <v>146</v>
      </c>
      <c r="AJ37" s="84" t="s">
        <v>92</v>
      </c>
      <c r="AK37" s="84" t="s">
        <v>93</v>
      </c>
      <c r="AL37" s="84" t="s">
        <v>83</v>
      </c>
      <c r="AM37" s="84" t="s">
        <v>94</v>
      </c>
      <c r="AN37" s="64" t="s">
        <v>6</v>
      </c>
      <c r="AO37" s="226"/>
      <c r="AP37" s="143" t="s">
        <v>159</v>
      </c>
      <c r="AQ37" s="83" t="s">
        <v>89</v>
      </c>
      <c r="AR37" s="84" t="s">
        <v>84</v>
      </c>
      <c r="AS37" s="84" t="s">
        <v>90</v>
      </c>
      <c r="AT37" s="84" t="s">
        <v>91</v>
      </c>
      <c r="AU37" s="84" t="s">
        <v>145</v>
      </c>
      <c r="AV37" s="84" t="s">
        <v>146</v>
      </c>
      <c r="AW37" s="84" t="s">
        <v>92</v>
      </c>
      <c r="AX37" s="84" t="s">
        <v>93</v>
      </c>
      <c r="AY37" s="84" t="s">
        <v>83</v>
      </c>
      <c r="AZ37" s="84" t="s">
        <v>94</v>
      </c>
      <c r="BA37" s="85" t="s">
        <v>70</v>
      </c>
      <c r="BB37" s="224"/>
      <c r="BC37" s="143" t="s">
        <v>161</v>
      </c>
      <c r="BD37" s="230"/>
    </row>
    <row r="38" spans="1:56" ht="15">
      <c r="A38" s="26">
        <v>30</v>
      </c>
      <c r="B38" s="9" t="s">
        <v>34</v>
      </c>
      <c r="C38" s="11">
        <v>354.7</v>
      </c>
      <c r="D38" s="87" t="e">
        <f aca="true" t="shared" si="13" ref="D38:D63">N38-E38-F38-G38-H38-I38-J38-K38-L38-M38</f>
        <v>#REF!</v>
      </c>
      <c r="E38" s="87">
        <f>('2 полугодие'!E71+'по статьям 1 полугодие'!E39)/2</f>
        <v>0.12167794380227422</v>
      </c>
      <c r="F38" s="87"/>
      <c r="G38" s="87">
        <v>2.85</v>
      </c>
      <c r="H38" s="87" t="e">
        <f aca="true" t="shared" si="14" ref="H38:H63">U38/C38/12</f>
        <v>#REF!</v>
      </c>
      <c r="I38" s="87">
        <v>0.26</v>
      </c>
      <c r="J38" s="87">
        <v>1.03</v>
      </c>
      <c r="K38" s="87">
        <v>0.78</v>
      </c>
      <c r="L38" s="87">
        <v>0.58</v>
      </c>
      <c r="M38" s="87">
        <v>0.39</v>
      </c>
      <c r="N38" s="109">
        <v>11.92</v>
      </c>
      <c r="O38" s="5">
        <v>3.56</v>
      </c>
      <c r="P38" s="196">
        <f aca="true" t="shared" si="15" ref="P38:P63">N38+O38</f>
        <v>15.48</v>
      </c>
      <c r="Q38" s="13" t="e">
        <f aca="true" t="shared" si="16" ref="Q38:Q63">AA38-Z38-Y38-X38-W38-V38-U38-T38-S38-R38</f>
        <v>#REF!</v>
      </c>
      <c r="R38" s="13">
        <f>('2 полугодие'!P39+'по статьям 1 полугодие'!P39)</f>
        <v>1251.6999999999998</v>
      </c>
      <c r="S38" s="13">
        <f>'2 полугодие'!Q39+'по статьям 1 полугодие'!Q39</f>
        <v>0</v>
      </c>
      <c r="T38" s="13">
        <f>'2 полугодие'!R39+'по статьям 1 полугодие'!R39</f>
        <v>14838.143968102071</v>
      </c>
      <c r="U38" s="13" t="e">
        <f aca="true" t="shared" si="17" ref="U38:U63">AU38</f>
        <v>#REF!</v>
      </c>
      <c r="V38" s="13" t="e">
        <f>'2 полугодие'!#REF!+'по статьям 1 полугодие'!#REF!</f>
        <v>#REF!</v>
      </c>
      <c r="W38" s="13">
        <f>'2 полугодие'!S39+'по статьям 1 полугодие'!S39</f>
        <v>4591.382124401915</v>
      </c>
      <c r="X38" s="13">
        <f>'2 полугодие'!T39+'по статьям 1 полугодие'!T39</f>
        <v>3315.9982009569376</v>
      </c>
      <c r="Y38" s="13">
        <f>'2 полугодие'!U39+'по статьям 1 полугодие'!U39</f>
        <v>3146.6126443381177</v>
      </c>
      <c r="Z38" s="13">
        <f>'2 полугодие'!V39+'по статьям 1 полугодие'!V39</f>
        <v>1657.9991004784688</v>
      </c>
      <c r="AA38" s="13">
        <f>'2 полугодие'!W39+'по статьям 1 полугодие'!W39</f>
        <v>54353.865999999995</v>
      </c>
      <c r="AB38" s="15">
        <f>'2 полугодие'!X39+'по статьям 1 полугодие'!X39</f>
        <v>15961.65</v>
      </c>
      <c r="AC38" s="15">
        <f aca="true" t="shared" si="18" ref="AC38:AC63">AA38+AB38</f>
        <v>70315.51599999999</v>
      </c>
      <c r="AD38" s="13" t="e">
        <f aca="true" t="shared" si="19" ref="AD38:AD63">AN38-AM38-AL38-AK38-AJ38-AI38-AH38-AG38-AF38-AE38</f>
        <v>#REF!</v>
      </c>
      <c r="AE38" s="13">
        <f aca="true" t="shared" si="20" ref="AE38:AE62">R38</f>
        <v>1251.6999999999998</v>
      </c>
      <c r="AF38" s="13">
        <f>'2 полугодие'!AB39+'по статьям 1 полугодие'!AB39</f>
        <v>0</v>
      </c>
      <c r="AG38" s="13">
        <f>'2 полугодие'!AC39+'по статьям 1 полугодие'!AC39</f>
        <v>11615.573857874297</v>
      </c>
      <c r="AH38" s="13" t="e">
        <f aca="true" t="shared" si="21" ref="AH38:AH63">AU38</f>
        <v>#REF!</v>
      </c>
      <c r="AI38" s="13" t="e">
        <f>'2 полугодие'!#REF!+'по статьям 1 полугодие'!#REF!</f>
        <v>#REF!</v>
      </c>
      <c r="AJ38" s="13">
        <f>'2 полугодие'!AD39+'по статьям 1 полугодие'!AD39</f>
        <v>3602.9504316501852</v>
      </c>
      <c r="AK38" s="13">
        <f>'2 полугодие'!AE39+'по статьям 1 полугодие'!AE39</f>
        <v>2602.1308673029116</v>
      </c>
      <c r="AL38" s="13">
        <f>'2 полугодие'!AF39+'по статьям 1 полугодие'!AF39</f>
        <v>2453.2613618064556</v>
      </c>
      <c r="AM38" s="13">
        <f>'2 полугодие'!AG39+'по статьям 1 полугодие'!AG39</f>
        <v>1301.0654336514558</v>
      </c>
      <c r="AN38" s="16">
        <f>'2 полугодие'!AH39+'по статьям 1 полугодие'!AH39</f>
        <v>42622.520000000004</v>
      </c>
      <c r="AO38" s="4">
        <f>'2 полугодие'!AI39+'по статьям 1 полугодие'!AI39</f>
        <v>14548.130000000001</v>
      </c>
      <c r="AP38" s="15">
        <f aca="true" t="shared" si="22" ref="AP38:AP63">AN38+AO38</f>
        <v>57170.65000000001</v>
      </c>
      <c r="AQ38" s="13">
        <f>'2 полугодие'!AK39+'по статьям 1 полугодие'!AK39</f>
        <v>1544</v>
      </c>
      <c r="AR38" s="13">
        <f aca="true" t="shared" si="23" ref="AR38:AR63">AE38</f>
        <v>1251.6999999999998</v>
      </c>
      <c r="AS38" s="13">
        <f>'2 полугодие'!AM39+'по статьям 1 полугодие'!AM39</f>
        <v>0</v>
      </c>
      <c r="AT38" s="13">
        <f>'2 полугодие'!AN39+'по статьям 1 полугодие'!AN39</f>
        <v>14131.565683906734</v>
      </c>
      <c r="AU38" s="13" t="e">
        <f>'2 полугодие'!#REF!+'по статьям 1 полугодие'!#REF!</f>
        <v>#REF!</v>
      </c>
      <c r="AV38" s="13" t="e">
        <f>'2 полугодие'!#REF!+'по статьям 1 полугодие'!#REF!</f>
        <v>#REF!</v>
      </c>
      <c r="AW38" s="13">
        <f>'2 полугодие'!AO39+'по статьям 1 полугодие'!AO39</f>
        <v>4372.744880382776</v>
      </c>
      <c r="AX38" s="13">
        <f>'2 полугодие'!AP39+'по статьям 1 полугодие'!AP39</f>
        <v>3158.0935247208927</v>
      </c>
      <c r="AY38" s="13">
        <f>'2 полугодие'!AQ39+'по статьям 1 полугодие'!AQ39</f>
        <v>2996.7739469886837</v>
      </c>
      <c r="AZ38" s="13">
        <f>'2 полугодие'!AR39+'по статьям 1 полугодие'!AR39</f>
        <v>1579.0467623604463</v>
      </c>
      <c r="BA38" s="22" t="e">
        <f aca="true" t="shared" si="24" ref="BA38:BA63">SUM(AQ38:AZ38)</f>
        <v>#REF!</v>
      </c>
      <c r="BB38" s="15">
        <f>'2 полугодие'!AT39+'по статьям 1 полугодие'!AT39</f>
        <v>15201.571428571428</v>
      </c>
      <c r="BC38" s="15" t="e">
        <f aca="true" t="shared" si="25" ref="BC38:BC63">BA38+BB38</f>
        <v>#REF!</v>
      </c>
      <c r="BD38" s="9" t="s">
        <v>34</v>
      </c>
    </row>
    <row r="39" spans="1:56" ht="15">
      <c r="A39" s="26">
        <v>31</v>
      </c>
      <c r="B39" s="9" t="s">
        <v>35</v>
      </c>
      <c r="C39" s="11">
        <v>735.11</v>
      </c>
      <c r="D39" s="87" t="e">
        <f t="shared" si="13"/>
        <v>#REF!</v>
      </c>
      <c r="E39" s="87">
        <f>('2 полугодие'!E72+'по статьям 1 полугодие'!E40)/2</f>
        <v>0.1500002267234382</v>
      </c>
      <c r="F39" s="87"/>
      <c r="G39" s="87">
        <v>2.85</v>
      </c>
      <c r="H39" s="87" t="e">
        <f t="shared" si="14"/>
        <v>#REF!</v>
      </c>
      <c r="I39" s="87">
        <v>0.26</v>
      </c>
      <c r="J39" s="87">
        <v>1.03</v>
      </c>
      <c r="K39" s="87">
        <v>0.78</v>
      </c>
      <c r="L39" s="87">
        <v>0.58</v>
      </c>
      <c r="M39" s="87">
        <v>0.39</v>
      </c>
      <c r="N39" s="109">
        <v>11.92</v>
      </c>
      <c r="O39" s="5">
        <v>3.56</v>
      </c>
      <c r="P39" s="196">
        <f t="shared" si="15"/>
        <v>15.48</v>
      </c>
      <c r="Q39" s="13" t="e">
        <f t="shared" si="16"/>
        <v>#REF!</v>
      </c>
      <c r="R39" s="13">
        <f>('2 полугодие'!P40+'по статьям 1 полугодие'!P40)</f>
        <v>3043.36</v>
      </c>
      <c r="S39" s="13">
        <f>'2 полугодие'!Q40+'по статьям 1 полугодие'!Q40</f>
        <v>0</v>
      </c>
      <c r="T39" s="13">
        <f>'2 полугодие'!R40+'по статьям 1 полугодие'!R40</f>
        <v>30823.00084593302</v>
      </c>
      <c r="U39" s="13" t="e">
        <f t="shared" si="17"/>
        <v>#REF!</v>
      </c>
      <c r="V39" s="13" t="e">
        <f>'2 полугодие'!#REF!+'по статьям 1 полугодие'!#REF!</f>
        <v>#REF!</v>
      </c>
      <c r="W39" s="13">
        <f>'2 полугодие'!S40+'по статьям 1 полугодие'!S40</f>
        <v>9539.148780861247</v>
      </c>
      <c r="X39" s="13">
        <f>'2 полугодие'!T40+'по статьям 1 полугодие'!T40</f>
        <v>6889.385230622011</v>
      </c>
      <c r="Y39" s="13">
        <f>'2 полугодие'!U40+'по статьям 1 полугодие'!U40</f>
        <v>6534.624152153111</v>
      </c>
      <c r="Z39" s="13">
        <f>'2 полугодие'!V40+'по статьям 1 полугодие'!V40</f>
        <v>3444.6926153110053</v>
      </c>
      <c r="AA39" s="13">
        <f>'2 полугодие'!W40+'по статьям 1 полугодие'!W40</f>
        <v>112921.33980000002</v>
      </c>
      <c r="AB39" s="15">
        <f>'2 полугодие'!X40+'по статьям 1 полугодие'!X40</f>
        <v>33122.465</v>
      </c>
      <c r="AC39" s="15">
        <f t="shared" si="18"/>
        <v>146043.8048</v>
      </c>
      <c r="AD39" s="13" t="e">
        <f t="shared" si="19"/>
        <v>#REF!</v>
      </c>
      <c r="AE39" s="13">
        <f t="shared" si="20"/>
        <v>3043.36</v>
      </c>
      <c r="AF39" s="13">
        <f>'2 полугодие'!AB40+'по статьям 1 полугодие'!AB40</f>
        <v>0</v>
      </c>
      <c r="AG39" s="13">
        <f>'2 полугодие'!AC40+'по статьям 1 полугодие'!AC40</f>
        <v>30660.954391264917</v>
      </c>
      <c r="AH39" s="13" t="e">
        <f t="shared" si="21"/>
        <v>#REF!</v>
      </c>
      <c r="AI39" s="13" t="e">
        <f>'2 полугодие'!#REF!+'по статьям 1 полугодие'!#REF!</f>
        <v>#REF!</v>
      </c>
      <c r="AJ39" s="13">
        <f>'2 полугодие'!AD40+'по статьям 1 полугодие'!AD40</f>
        <v>9458.943738226471</v>
      </c>
      <c r="AK39" s="13">
        <f>'2 полугодие'!AE40+'по статьям 1 полугодие'!AE40</f>
        <v>6831.459366496896</v>
      </c>
      <c r="AL39" s="13">
        <f>'2 полугодие'!AF40+'по статьям 1 полугодие'!AF40</f>
        <v>6534.571041652132</v>
      </c>
      <c r="AM39" s="13">
        <f>'2 полугодие'!AG40+'по статьям 1 полугодие'!AG40</f>
        <v>3415.729683248448</v>
      </c>
      <c r="AN39" s="16">
        <f>'2 полугодие'!AH40+'по статьям 1 полугодие'!AH40</f>
        <v>112075.345</v>
      </c>
      <c r="AO39" s="4">
        <f>'2 полугодие'!AI40+'по статьям 1 полугодие'!AI40</f>
        <v>32344.885</v>
      </c>
      <c r="AP39" s="15">
        <f t="shared" si="22"/>
        <v>144420.23</v>
      </c>
      <c r="AQ39" s="13">
        <f>'2 полугодие'!AK40+'по статьям 1 полугодие'!AK40</f>
        <v>94820</v>
      </c>
      <c r="AR39" s="13">
        <f t="shared" si="23"/>
        <v>3043.36</v>
      </c>
      <c r="AS39" s="13">
        <f>'2 полугодие'!AM40+'по статьям 1 полугодие'!AM40</f>
        <v>0</v>
      </c>
      <c r="AT39" s="13">
        <f>'2 полугодие'!AN40+'по статьям 1 полугодие'!AN40</f>
        <v>29355.238900888588</v>
      </c>
      <c r="AU39" s="13" t="e">
        <f>'2 полугодие'!#REF!+'по статьям 1 полугодие'!#REF!</f>
        <v>#REF!</v>
      </c>
      <c r="AV39" s="13" t="e">
        <f>'2 полугодие'!#REF!+'по статьям 1 полугодие'!#REF!</f>
        <v>#REF!</v>
      </c>
      <c r="AW39" s="13">
        <f>'2 полугодие'!AO40+'по статьям 1 полугодие'!AO40</f>
        <v>9084.903600820235</v>
      </c>
      <c r="AX39" s="13">
        <f>'2 полугодие'!AP40+'по статьям 1 полугодие'!AP40</f>
        <v>6561.319267259058</v>
      </c>
      <c r="AY39" s="13">
        <f>'2 полугодие'!AQ40+'по статьям 1 полугодие'!AQ40</f>
        <v>6223.451573479153</v>
      </c>
      <c r="AZ39" s="13">
        <f>'2 полугодие'!AR40+'по статьям 1 полугодие'!AR40</f>
        <v>3280.659633629529</v>
      </c>
      <c r="BA39" s="22" t="e">
        <f t="shared" si="24"/>
        <v>#REF!</v>
      </c>
      <c r="BB39" s="15">
        <f>'2 полугодие'!AT40+'по статьям 1 полугодие'!AT40</f>
        <v>31545.20476190476</v>
      </c>
      <c r="BC39" s="15" t="e">
        <f t="shared" si="25"/>
        <v>#REF!</v>
      </c>
      <c r="BD39" s="9" t="s">
        <v>35</v>
      </c>
    </row>
    <row r="40" spans="1:56" ht="15">
      <c r="A40" s="26">
        <v>32</v>
      </c>
      <c r="B40" s="9" t="s">
        <v>36</v>
      </c>
      <c r="C40" s="11">
        <v>858.46</v>
      </c>
      <c r="D40" s="87" t="e">
        <f t="shared" si="13"/>
        <v>#REF!</v>
      </c>
      <c r="E40" s="87">
        <f>('2 полугодие'!E73+'по статьям 1 полугодие'!E41)/2</f>
        <v>0.15</v>
      </c>
      <c r="F40" s="87"/>
      <c r="G40" s="87">
        <v>2.85</v>
      </c>
      <c r="H40" s="87" t="e">
        <f t="shared" si="14"/>
        <v>#REF!</v>
      </c>
      <c r="I40" s="87">
        <v>0.26</v>
      </c>
      <c r="J40" s="87">
        <v>1.03</v>
      </c>
      <c r="K40" s="87">
        <v>0.78</v>
      </c>
      <c r="L40" s="87">
        <v>0.58</v>
      </c>
      <c r="M40" s="87">
        <v>0.39</v>
      </c>
      <c r="N40" s="109">
        <v>11.92</v>
      </c>
      <c r="O40" s="5">
        <v>3.56</v>
      </c>
      <c r="P40" s="196">
        <f t="shared" si="15"/>
        <v>15.48</v>
      </c>
      <c r="Q40" s="13" t="e">
        <f t="shared" si="16"/>
        <v>#REF!</v>
      </c>
      <c r="R40" s="13">
        <f>('2 полугодие'!P41+'по статьям 1 полугодие'!P41)</f>
        <v>3565.99</v>
      </c>
      <c r="S40" s="13">
        <f>'2 полугодие'!Q41+'по статьям 1 полугодие'!Q41</f>
        <v>0</v>
      </c>
      <c r="T40" s="13">
        <f>'2 полугодие'!R41+'по статьям 1 полугодие'!R41</f>
        <v>35804.972973524724</v>
      </c>
      <c r="U40" s="13" t="e">
        <f t="shared" si="17"/>
        <v>#REF!</v>
      </c>
      <c r="V40" s="13" t="e">
        <f>'2 полугодие'!#REF!+'по статьям 1 полугодие'!#REF!</f>
        <v>#REF!</v>
      </c>
      <c r="W40" s="13">
        <f>'2 полугодие'!S41+'по статьям 1 полугодие'!S41</f>
        <v>11076.832283253589</v>
      </c>
      <c r="X40" s="13">
        <f>'2 полугодие'!T41+'по статьям 1 полугодие'!T41</f>
        <v>7999.93442679426</v>
      </c>
      <c r="Y40" s="13">
        <f>'2 полугодие'!U41+'по статьям 1 полугодие'!U41</f>
        <v>7595.556574800639</v>
      </c>
      <c r="Z40" s="13">
        <f>'2 полугодие'!V41+'по статьям 1 полугодие'!V41</f>
        <v>3999.96721339713</v>
      </c>
      <c r="AA40" s="13">
        <f>'2 полугодие'!W41+'по статьям 1 полугодие'!W41</f>
        <v>131138.20280000003</v>
      </c>
      <c r="AB40" s="15">
        <f>'2 полугодие'!X41+'по статьям 1 полугодие'!X41</f>
        <v>38461.51</v>
      </c>
      <c r="AC40" s="15">
        <f t="shared" si="18"/>
        <v>169599.71280000004</v>
      </c>
      <c r="AD40" s="13" t="e">
        <f t="shared" si="19"/>
        <v>#REF!</v>
      </c>
      <c r="AE40" s="13">
        <f t="shared" si="20"/>
        <v>3565.99</v>
      </c>
      <c r="AF40" s="13">
        <f>'2 полугодие'!AB41+'по статьям 1 полугодие'!AB41</f>
        <v>0</v>
      </c>
      <c r="AG40" s="13">
        <f>'2 полугодие'!AC41+'по статьям 1 полугодие'!AC41</f>
        <v>35656.00518096504</v>
      </c>
      <c r="AH40" s="13" t="e">
        <f t="shared" si="21"/>
        <v>#REF!</v>
      </c>
      <c r="AI40" s="13" t="e">
        <f>'2 полугодие'!#REF!+'по статьям 1 полугодие'!#REF!</f>
        <v>#REF!</v>
      </c>
      <c r="AJ40" s="13">
        <f>'2 полугодие'!AD41+'по статьям 1 полугодие'!AD41</f>
        <v>10983.014418181085</v>
      </c>
      <c r="AK40" s="13">
        <f>'2 полугодие'!AE41+'по статьям 1 полугодие'!AE41</f>
        <v>7932.17707979745</v>
      </c>
      <c r="AL40" s="13">
        <f>'2 полугодие'!AF41+'по статьям 1 полугодие'!AF41</f>
        <v>7618.4321250126995</v>
      </c>
      <c r="AM40" s="13">
        <f>'2 полугодие'!AG41+'по статьям 1 полугодие'!AG41</f>
        <v>3966.088539898725</v>
      </c>
      <c r="AN40" s="16">
        <f>'2 полугодие'!AH41+'по статьям 1 полугодие'!AH41</f>
        <v>130191.85</v>
      </c>
      <c r="AO40" s="4">
        <f>'2 полугодие'!AI41+'по статьям 1 полугодие'!AI41</f>
        <v>37169.68000000001</v>
      </c>
      <c r="AP40" s="15">
        <f t="shared" si="22"/>
        <v>167361.53000000003</v>
      </c>
      <c r="AQ40" s="13">
        <f>'2 полугодие'!AK41+'по статьям 1 полугодие'!AK41</f>
        <v>40862</v>
      </c>
      <c r="AR40" s="13">
        <f t="shared" si="23"/>
        <v>3565.99</v>
      </c>
      <c r="AS40" s="13">
        <f>'2 полугодие'!AM41+'по статьям 1 полугодие'!AM41</f>
        <v>0</v>
      </c>
      <c r="AT40" s="13">
        <f>'2 полугодие'!AN41+'по статьям 1 полугодие'!AN41</f>
        <v>34099.97426049973</v>
      </c>
      <c r="AU40" s="13" t="e">
        <f>'2 полугодие'!#REF!+'по статьям 1 полугодие'!#REF!</f>
        <v>#REF!</v>
      </c>
      <c r="AV40" s="13" t="e">
        <f>'2 полугодие'!#REF!+'по статьям 1 полугодие'!#REF!</f>
        <v>#REF!</v>
      </c>
      <c r="AW40" s="13">
        <f>'2 полугодие'!AO41+'по статьям 1 полугодие'!AO41</f>
        <v>10549.364079289133</v>
      </c>
      <c r="AX40" s="13">
        <f>'2 полугодие'!AP41+'по статьям 1 полугодие'!AP41</f>
        <v>7618.985168375484</v>
      </c>
      <c r="AY40" s="13">
        <f>'2 полугодие'!AQ41+'по статьям 1 полугодие'!AQ41</f>
        <v>7233.863404572036</v>
      </c>
      <c r="AZ40" s="13">
        <f>'2 полугодие'!AR41+'по статьям 1 полугодие'!AR41</f>
        <v>3809.492584187742</v>
      </c>
      <c r="BA40" s="22" t="e">
        <f t="shared" si="24"/>
        <v>#REF!</v>
      </c>
      <c r="BB40" s="15">
        <f>'2 полугодие'!AT41+'по статьям 1 полугодие'!AT41</f>
        <v>36630.009523809524</v>
      </c>
      <c r="BC40" s="15" t="e">
        <f t="shared" si="25"/>
        <v>#REF!</v>
      </c>
      <c r="BD40" s="9" t="s">
        <v>36</v>
      </c>
    </row>
    <row r="41" spans="1:56" ht="15">
      <c r="A41" s="26">
        <v>33</v>
      </c>
      <c r="B41" s="9" t="s">
        <v>37</v>
      </c>
      <c r="C41" s="11">
        <v>288.26</v>
      </c>
      <c r="D41" s="87" t="e">
        <f t="shared" si="13"/>
        <v>#REF!</v>
      </c>
      <c r="E41" s="87">
        <f>('2 полугодие'!E74+'по статьям 1 полугодие'!E42)/2</f>
        <v>0.1500005781817341</v>
      </c>
      <c r="F41" s="87"/>
      <c r="G41" s="87">
        <v>2.85</v>
      </c>
      <c r="H41" s="87" t="e">
        <f t="shared" si="14"/>
        <v>#REF!</v>
      </c>
      <c r="I41" s="87">
        <v>0.26</v>
      </c>
      <c r="J41" s="87">
        <v>1.03</v>
      </c>
      <c r="K41" s="87">
        <v>0.78</v>
      </c>
      <c r="L41" s="87">
        <v>0.58</v>
      </c>
      <c r="M41" s="87">
        <v>0.39</v>
      </c>
      <c r="N41" s="109">
        <v>11.92</v>
      </c>
      <c r="O41" s="5">
        <v>3.56</v>
      </c>
      <c r="P41" s="196">
        <f t="shared" si="15"/>
        <v>15.48</v>
      </c>
      <c r="Q41" s="13" t="e">
        <f t="shared" si="16"/>
        <v>#REF!</v>
      </c>
      <c r="R41" s="13">
        <f>('2 полугодие'!P42+'по статьям 1 полугодие'!P42)</f>
        <v>1193.4</v>
      </c>
      <c r="S41" s="13">
        <f>'2 полугодие'!Q42+'по статьям 1 полугодие'!Q42</f>
        <v>0</v>
      </c>
      <c r="T41" s="13">
        <f>'2 полугодие'!R42+'по статьям 1 полугодие'!R42</f>
        <v>12072.328176076555</v>
      </c>
      <c r="U41" s="13" t="e">
        <f t="shared" si="17"/>
        <v>#REF!</v>
      </c>
      <c r="V41" s="13" t="e">
        <f>'2 полугодие'!#REF!+'по статьям 1 полугодие'!#REF!</f>
        <v>#REF!</v>
      </c>
      <c r="W41" s="13">
        <f>'2 полугодие'!S42+'по статьям 1 полугодие'!S42</f>
        <v>3735.8493933014356</v>
      </c>
      <c r="X41" s="13">
        <f>'2 полугодие'!T42+'по статьям 1 полугодие'!T42</f>
        <v>2698.1134507177035</v>
      </c>
      <c r="Y41" s="13">
        <f>'2 полугодие'!U42+'по статьям 1 полугодие'!U42</f>
        <v>2559.7486832535888</v>
      </c>
      <c r="Z41" s="13">
        <f>'2 полугодие'!V42+'по статьям 1 полугодие'!V42</f>
        <v>1349.0567253588517</v>
      </c>
      <c r="AA41" s="13">
        <f>'2 полугодие'!W42+'по статьям 1 полугодие'!W42</f>
        <v>44224.8468</v>
      </c>
      <c r="AB41" s="15">
        <f>'2 полугодие'!X42+'по статьям 1 полугодие'!X42</f>
        <v>12971.789999999999</v>
      </c>
      <c r="AC41" s="15">
        <f t="shared" si="18"/>
        <v>57196.6368</v>
      </c>
      <c r="AD41" s="13" t="e">
        <f t="shared" si="19"/>
        <v>#REF!</v>
      </c>
      <c r="AE41" s="13">
        <f t="shared" si="20"/>
        <v>1193.4</v>
      </c>
      <c r="AF41" s="13">
        <f>'2 полугодие'!AB42+'по статьям 1 полугодие'!AB42</f>
        <v>0</v>
      </c>
      <c r="AG41" s="13">
        <f>'2 полугодие'!AC42+'по статьям 1 полугодие'!AC42</f>
        <v>11920.638340071557</v>
      </c>
      <c r="AH41" s="13" t="e">
        <f t="shared" si="21"/>
        <v>#REF!</v>
      </c>
      <c r="AI41" s="13" t="e">
        <f>'2 полугодие'!#REF!+'по статьям 1 полугодие'!#REF!</f>
        <v>#REF!</v>
      </c>
      <c r="AJ41" s="13">
        <f>'2 полугодие'!AD42+'по статьям 1 полугодие'!AD42</f>
        <v>3681.5034338130263</v>
      </c>
      <c r="AK41" s="13">
        <f>'2 полугодие'!AE42+'по статьям 1 полугодие'!AE42</f>
        <v>2658.8635910871853</v>
      </c>
      <c r="AL41" s="13">
        <f>'2 полугодие'!AF42+'по статьям 1 полугодие'!AF42</f>
        <v>2536.03622971036</v>
      </c>
      <c r="AM41" s="13">
        <f>'2 полугодие'!AG42+'по статьям 1 полугодие'!AG42</f>
        <v>1329.4317955435927</v>
      </c>
      <c r="AN41" s="16">
        <f>'2 полугодие'!AH42+'по статьям 1 полугодие'!AH42</f>
        <v>43606.990000000005</v>
      </c>
      <c r="AO41" s="4">
        <f>'2 полугодие'!AI42+'по статьям 1 полугодие'!AI42</f>
        <v>12708.74</v>
      </c>
      <c r="AP41" s="15">
        <f t="shared" si="22"/>
        <v>56315.73</v>
      </c>
      <c r="AQ41" s="13">
        <f>'2 полугодие'!AK42+'по статьям 1 полугодие'!AK42</f>
        <v>18054</v>
      </c>
      <c r="AR41" s="13">
        <f t="shared" si="23"/>
        <v>1193.4</v>
      </c>
      <c r="AS41" s="13">
        <f>'2 полугодие'!AM42+'по статьям 1 полугодие'!AM42</f>
        <v>0</v>
      </c>
      <c r="AT41" s="13">
        <f>'2 полугодие'!AN42+'по статьям 1 полугодие'!AN42</f>
        <v>11497.455405787194</v>
      </c>
      <c r="AU41" s="13" t="e">
        <f>'2 полугодие'!#REF!+'по статьям 1 полугодие'!#REF!</f>
        <v>#REF!</v>
      </c>
      <c r="AV41" s="13" t="e">
        <f>'2 полугодие'!#REF!+'по статьям 1 полугодие'!#REF!</f>
        <v>#REF!</v>
      </c>
      <c r="AW41" s="13">
        <f>'2 полугодие'!AO42+'по статьям 1 полугодие'!AO42</f>
        <v>3557.951803144224</v>
      </c>
      <c r="AX41" s="13">
        <f>'2 полугодие'!AP42+'по статьям 1 полугодие'!AP42</f>
        <v>2569.6318578263845</v>
      </c>
      <c r="AY41" s="13">
        <f>'2 полугодие'!AQ42+'по статьям 1 полугодие'!AQ42</f>
        <v>2437.8558888129414</v>
      </c>
      <c r="AZ41" s="13">
        <f>'2 полугодие'!AR42+'по статьям 1 полугодие'!AR42</f>
        <v>1284.8159289131922</v>
      </c>
      <c r="BA41" s="22" t="e">
        <f t="shared" si="24"/>
        <v>#REF!</v>
      </c>
      <c r="BB41" s="15">
        <f>'2 полугодие'!AT42+'по статьям 1 полугодие'!AT42</f>
        <v>12354.085714285713</v>
      </c>
      <c r="BC41" s="15" t="e">
        <f t="shared" si="25"/>
        <v>#REF!</v>
      </c>
      <c r="BD41" s="9" t="s">
        <v>37</v>
      </c>
    </row>
    <row r="42" spans="1:56" ht="15.75" thickBot="1">
      <c r="A42" s="26">
        <v>34</v>
      </c>
      <c r="B42" s="9" t="s">
        <v>38</v>
      </c>
      <c r="C42" s="11">
        <v>138.67</v>
      </c>
      <c r="D42" s="87" t="e">
        <f t="shared" si="13"/>
        <v>#REF!</v>
      </c>
      <c r="E42" s="87">
        <f>('2 полугодие'!E75+'по статьям 1 полугодие'!E43)/2</f>
        <v>0.1500024037883705</v>
      </c>
      <c r="F42" s="88"/>
      <c r="G42" s="87">
        <v>2.85</v>
      </c>
      <c r="H42" s="87" t="e">
        <f t="shared" si="14"/>
        <v>#REF!</v>
      </c>
      <c r="I42" s="87">
        <v>0.26</v>
      </c>
      <c r="J42" s="87">
        <v>1.03</v>
      </c>
      <c r="K42" s="87">
        <v>0.78</v>
      </c>
      <c r="L42" s="87">
        <v>0.58</v>
      </c>
      <c r="M42" s="87">
        <v>0.39</v>
      </c>
      <c r="N42" s="109">
        <v>11.92</v>
      </c>
      <c r="O42" s="5">
        <v>3.56</v>
      </c>
      <c r="P42" s="196">
        <f t="shared" si="15"/>
        <v>15.48</v>
      </c>
      <c r="Q42" s="13" t="e">
        <f t="shared" si="16"/>
        <v>#REF!</v>
      </c>
      <c r="R42" s="13">
        <f>('2 полугодие'!P43+'по статьям 1 полугодие'!P43)</f>
        <v>574.1</v>
      </c>
      <c r="S42" s="13">
        <f>'2 полугодие'!Q43+'по статьям 1 полугодие'!Q43</f>
        <v>0</v>
      </c>
      <c r="T42" s="13">
        <f>'2 полугодие'!R43+'по статьям 1 полугодие'!R43</f>
        <v>5807.512390430622</v>
      </c>
      <c r="U42" s="13" t="e">
        <f t="shared" si="17"/>
        <v>#REF!</v>
      </c>
      <c r="V42" s="13" t="e">
        <f>'2 полугодие'!#REF!+'по статьям 1 полугодие'!#REF!</f>
        <v>#REF!</v>
      </c>
      <c r="W42" s="13">
        <f>'2 полугодие'!S43+'по статьям 1 полугодие'!S43</f>
        <v>1797.1674373205744</v>
      </c>
      <c r="X42" s="13">
        <f>'2 полугодие'!T43+'по статьям 1 полугодие'!T43</f>
        <v>1297.9542602870815</v>
      </c>
      <c r="Y42" s="13">
        <f>'2 полугодие'!U43+'по статьям 1 полугодие'!U43</f>
        <v>1231.3919933014354</v>
      </c>
      <c r="Z42" s="13">
        <f>'2 полугодие'!V43+'по статьям 1 полугодие'!V43</f>
        <v>648.9771301435408</v>
      </c>
      <c r="AA42" s="13">
        <f>'2 полугодие'!W43+'по статьям 1 полугодие'!W43</f>
        <v>21274.800600000002</v>
      </c>
      <c r="AB42" s="15">
        <f>'2 полугодие'!X43+'по статьям 1 полугодие'!X43</f>
        <v>6240.254999999999</v>
      </c>
      <c r="AC42" s="15">
        <f t="shared" si="18"/>
        <v>27515.0556</v>
      </c>
      <c r="AD42" s="13" t="e">
        <f t="shared" si="19"/>
        <v>#REF!</v>
      </c>
      <c r="AE42" s="13">
        <f t="shared" si="20"/>
        <v>574.1</v>
      </c>
      <c r="AF42" s="13">
        <f>'2 полугодие'!AB43+'по статьям 1 полугодие'!AB43</f>
        <v>0</v>
      </c>
      <c r="AG42" s="13">
        <f>'2 полугодие'!AC43+'по статьям 1 полугодие'!AC43</f>
        <v>5755.87333837629</v>
      </c>
      <c r="AH42" s="13" t="e">
        <f t="shared" si="21"/>
        <v>#REF!</v>
      </c>
      <c r="AI42" s="13" t="e">
        <f>'2 полугодие'!#REF!+'по статьям 1 полугодие'!#REF!</f>
        <v>#REF!</v>
      </c>
      <c r="AJ42" s="13">
        <f>'2 полугодие'!AD43+'по статьям 1 полугодие'!AD43</f>
        <v>1764.7189550062976</v>
      </c>
      <c r="AK42" s="13">
        <f>'2 полугодие'!AE43+'по статьям 1 полугодие'!AE43</f>
        <v>1274.519245282326</v>
      </c>
      <c r="AL42" s="13">
        <f>'2 полугодие'!AF43+'по статьям 1 полугодие'!AF43</f>
        <v>1239.2382969554983</v>
      </c>
      <c r="AM42" s="13">
        <f>'2 полугодие'!AG43+'по статьям 1 полугодие'!AG43</f>
        <v>637.259622641163</v>
      </c>
      <c r="AN42" s="16">
        <f>'2 полугодие'!AH43+'по статьям 1 полугодие'!AH43</f>
        <v>20947.364999999998</v>
      </c>
      <c r="AO42" s="4">
        <f>'2 полугодие'!AI43+'по статьям 1 полугодие'!AI43</f>
        <v>6421.9349999999995</v>
      </c>
      <c r="AP42" s="15">
        <f t="shared" si="22"/>
        <v>27369.299999999996</v>
      </c>
      <c r="AQ42" s="13">
        <f>'2 полугодие'!AK43+'по статьям 1 полугодие'!AK43</f>
        <v>0</v>
      </c>
      <c r="AR42" s="13">
        <f t="shared" si="23"/>
        <v>574.1</v>
      </c>
      <c r="AS42" s="13">
        <f>'2 полугодие'!AM43+'по статьям 1 полугодие'!AM43</f>
        <v>0</v>
      </c>
      <c r="AT42" s="13">
        <f>'2 полугодие'!AN43+'по статьям 1 полугодие'!AN43</f>
        <v>5530.964181362497</v>
      </c>
      <c r="AU42" s="13" t="e">
        <f>'2 полугодие'!#REF!+'по статьям 1 полугодие'!#REF!</f>
        <v>#REF!</v>
      </c>
      <c r="AV42" s="13" t="e">
        <f>'2 полугодие'!#REF!+'по статьям 1 полугодие'!#REF!</f>
        <v>#REF!</v>
      </c>
      <c r="AW42" s="13">
        <f>'2 полугодие'!AO43+'по статьям 1 полугодие'!AO43</f>
        <v>1711.5880355434042</v>
      </c>
      <c r="AX42" s="13">
        <f>'2 полугодие'!AP43+'по статьям 1 полугодие'!AP43</f>
        <v>1236.146914559125</v>
      </c>
      <c r="AY42" s="13">
        <f>'2 полугодие'!AQ43+'по статьям 1 полугодие'!AQ43</f>
        <v>1172.7542793347002</v>
      </c>
      <c r="AZ42" s="13">
        <f>'2 полугодие'!AR43+'по статьям 1 полугодие'!AR43</f>
        <v>618.0734572795625</v>
      </c>
      <c r="BA42" s="22" t="e">
        <f t="shared" si="24"/>
        <v>#REF!</v>
      </c>
      <c r="BB42" s="15">
        <f>'2 полугодие'!AT43+'по статьям 1 полугодие'!AT43</f>
        <v>5943.099999999999</v>
      </c>
      <c r="BC42" s="15" t="e">
        <f t="shared" si="25"/>
        <v>#REF!</v>
      </c>
      <c r="BD42" s="9" t="s">
        <v>38</v>
      </c>
    </row>
    <row r="43" spans="1:56" s="204" customFormat="1" ht="15.75" thickBot="1">
      <c r="A43" s="26">
        <v>35</v>
      </c>
      <c r="B43" s="208" t="s">
        <v>39</v>
      </c>
      <c r="C43" s="34">
        <v>638.1</v>
      </c>
      <c r="D43" s="171" t="e">
        <f t="shared" si="13"/>
        <v>#REF!</v>
      </c>
      <c r="E43" s="171">
        <f>('2 полугодие'!E76+'по статьям 1 полугодие'!E44)/2</f>
        <v>0.15</v>
      </c>
      <c r="F43" s="175">
        <v>7.34</v>
      </c>
      <c r="G43" s="171">
        <v>2.85</v>
      </c>
      <c r="H43" s="171" t="e">
        <f t="shared" si="14"/>
        <v>#REF!</v>
      </c>
      <c r="I43" s="171">
        <v>0.26</v>
      </c>
      <c r="J43" s="171">
        <v>1.03</v>
      </c>
      <c r="K43" s="171">
        <v>0.78</v>
      </c>
      <c r="L43" s="171">
        <v>0.58</v>
      </c>
      <c r="M43" s="171">
        <v>0.39</v>
      </c>
      <c r="N43" s="173">
        <v>14.24</v>
      </c>
      <c r="O43" s="174">
        <v>3.56</v>
      </c>
      <c r="P43" s="211">
        <f t="shared" si="15"/>
        <v>17.8</v>
      </c>
      <c r="Q43" s="203" t="e">
        <f t="shared" si="16"/>
        <v>#REF!</v>
      </c>
      <c r="R43" s="203">
        <f>('2 полугодие'!P44+'по статьям 1 полугодие'!P44)</f>
        <v>2641.73</v>
      </c>
      <c r="S43" s="203">
        <f>'2 полугодие'!Q44+'по статьям 1 полугодие'!Q44</f>
        <v>57811.83580774366</v>
      </c>
      <c r="T43" s="203">
        <f>'2 полугодие'!R44+'по статьям 1 полугодие'!R44</f>
        <v>26723.617554072094</v>
      </c>
      <c r="U43" s="203" t="e">
        <f t="shared" si="17"/>
        <v>#REF!</v>
      </c>
      <c r="V43" s="203" t="e">
        <f>'2 полугодие'!#REF!+'по статьям 1 полугодие'!#REF!</f>
        <v>#REF!</v>
      </c>
      <c r="W43" s="203">
        <f>'2 полугодие'!S44+'по статьям 1 полугодие'!S44</f>
        <v>8269.772539385849</v>
      </c>
      <c r="X43" s="203">
        <f>'2 полугодие'!T44+'по статьям 1 полугодие'!T44</f>
        <v>5972.613500667557</v>
      </c>
      <c r="Y43" s="203">
        <f>'2 полугодие'!U44+'по статьям 1 полугодие'!U44</f>
        <v>5666.326045393858</v>
      </c>
      <c r="Z43" s="203">
        <f>'2 полугодие'!V44+'по статьям 1 полугодие'!V44</f>
        <v>2986.3067503337784</v>
      </c>
      <c r="AA43" s="203">
        <f>'2 полугодие'!W44+'по статьям 1 полугодие'!W44</f>
        <v>116925.396</v>
      </c>
      <c r="AB43" s="212">
        <f>'2 полугодие'!X44+'по статьям 1 полугодие'!X44</f>
        <v>28714.83</v>
      </c>
      <c r="AC43" s="212">
        <f t="shared" si="18"/>
        <v>145640.226</v>
      </c>
      <c r="AD43" s="203" t="e">
        <f t="shared" si="19"/>
        <v>#REF!</v>
      </c>
      <c r="AE43" s="203">
        <f t="shared" si="20"/>
        <v>2641.73</v>
      </c>
      <c r="AF43" s="203">
        <f>'2 полугодие'!AB44+'по статьям 1 полугодие'!AB44</f>
        <v>56425.54693481625</v>
      </c>
      <c r="AG43" s="203">
        <f>'2 полугодие'!AC44+'по статьям 1 полугодие'!AC44</f>
        <v>26442.353659721102</v>
      </c>
      <c r="AH43" s="203" t="e">
        <f t="shared" si="21"/>
        <v>#REF!</v>
      </c>
      <c r="AI43" s="203" t="e">
        <f>'2 полугодие'!#REF!+'по статьям 1 полугодие'!#REF!</f>
        <v>#REF!</v>
      </c>
      <c r="AJ43" s="203">
        <f>'2 полугодие'!AD44+'по статьям 1 полугодие'!AD44</f>
        <v>8071.468965510141</v>
      </c>
      <c r="AK43" s="203">
        <f>'2 полугодие'!AE44+'по статьям 1 полугодие'!AE44</f>
        <v>5829.394252868435</v>
      </c>
      <c r="AL43" s="203">
        <f>'2 полугодие'!AF44+'по статьям 1 полугодие'!AF44</f>
        <v>5733.675531814484</v>
      </c>
      <c r="AM43" s="203">
        <f>'2 полугодие'!AG44+'по статьям 1 полугодие'!AG44</f>
        <v>2914.6971264342174</v>
      </c>
      <c r="AN43" s="213">
        <f>'2 полугодие'!AH44+'по статьям 1 полугодие'!AH44</f>
        <v>114574.94999999998</v>
      </c>
      <c r="AO43" s="214">
        <f>'2 полугодие'!AI44+'по статьям 1 полугодие'!AI44</f>
        <v>26016.71</v>
      </c>
      <c r="AP43" s="212">
        <f t="shared" si="22"/>
        <v>140591.65999999997</v>
      </c>
      <c r="AQ43" s="203">
        <f>'2 полугодие'!AK44+'по статьям 1 полугодие'!AK44</f>
        <v>68317.9</v>
      </c>
      <c r="AR43" s="203">
        <f t="shared" si="23"/>
        <v>2641.73</v>
      </c>
      <c r="AS43" s="203">
        <f>'2 полугодие'!AM44+'по статьям 1 полугодие'!AM44</f>
        <v>56435.364102613006</v>
      </c>
      <c r="AT43" s="203">
        <f>'2 полугодие'!AN44+'по статьям 1 полугодие'!AN44</f>
        <v>25451.064337211516</v>
      </c>
      <c r="AU43" s="203" t="e">
        <f>'2 полугодие'!#REF!+'по статьям 1 полугодие'!#REF!</f>
        <v>#REF!</v>
      </c>
      <c r="AV43" s="203" t="e">
        <f>'2 полугодие'!#REF!+'по статьям 1 полугодие'!#REF!</f>
        <v>#REF!</v>
      </c>
      <c r="AW43" s="203">
        <f>'2 полугодие'!AO44+'по статьям 1 полугодие'!AO44</f>
        <v>7875.973847034141</v>
      </c>
      <c r="AX43" s="203">
        <f>'2 полугодие'!AP44+'по статьям 1 полугодие'!AP44</f>
        <v>5688.203333969102</v>
      </c>
      <c r="AY43" s="203">
        <f>'2 полугодие'!AQ44+'по статьям 1 полугодие'!AQ44</f>
        <v>5396.500995613198</v>
      </c>
      <c r="AZ43" s="203">
        <f>'2 полугодие'!AR44+'по статьям 1 полугодие'!AR44</f>
        <v>2844.101666984551</v>
      </c>
      <c r="BA43" s="215" t="e">
        <f t="shared" si="24"/>
        <v>#REF!</v>
      </c>
      <c r="BB43" s="212">
        <f>'2 полугодие'!AT44+'по статьям 1 полугодие'!AT44</f>
        <v>27347.457142857143</v>
      </c>
      <c r="BC43" s="212" t="e">
        <f t="shared" si="25"/>
        <v>#REF!</v>
      </c>
      <c r="BD43" s="208" t="s">
        <v>39</v>
      </c>
    </row>
    <row r="44" spans="1:56" s="204" customFormat="1" ht="15.75" thickBot="1">
      <c r="A44" s="26">
        <v>36</v>
      </c>
      <c r="B44" s="208" t="s">
        <v>40</v>
      </c>
      <c r="C44" s="37">
        <v>647.2</v>
      </c>
      <c r="D44" s="171" t="e">
        <f t="shared" si="13"/>
        <v>#REF!</v>
      </c>
      <c r="E44" s="171">
        <f>('2 полугодие'!E77+'по статьям 1 полугодие'!E45)/2</f>
        <v>0.15</v>
      </c>
      <c r="F44" s="176">
        <v>7.34</v>
      </c>
      <c r="G44" s="171">
        <v>2.85</v>
      </c>
      <c r="H44" s="171" t="e">
        <f t="shared" si="14"/>
        <v>#REF!</v>
      </c>
      <c r="I44" s="171">
        <v>0.26</v>
      </c>
      <c r="J44" s="171">
        <v>1.03</v>
      </c>
      <c r="K44" s="171">
        <v>0.78</v>
      </c>
      <c r="L44" s="171">
        <v>0.58</v>
      </c>
      <c r="M44" s="171">
        <v>0.39</v>
      </c>
      <c r="N44" s="173">
        <v>14.24</v>
      </c>
      <c r="O44" s="174">
        <v>3.56</v>
      </c>
      <c r="P44" s="211">
        <f t="shared" si="15"/>
        <v>17.8</v>
      </c>
      <c r="Q44" s="203" t="e">
        <f t="shared" si="16"/>
        <v>#REF!</v>
      </c>
      <c r="R44" s="203">
        <f>('2 полугодие'!P45+'по статьям 1 полугодие'!P45)</f>
        <v>2679.41</v>
      </c>
      <c r="S44" s="203">
        <f>'2 полугодие'!Q45+'по статьям 1 полугодие'!Q45</f>
        <v>58636.3623364486</v>
      </c>
      <c r="T44" s="203">
        <f>'2 полугодие'!R45+'по статьям 1 полугодие'!R45</f>
        <v>27104.754280373832</v>
      </c>
      <c r="U44" s="203" t="e">
        <f t="shared" si="17"/>
        <v>#REF!</v>
      </c>
      <c r="V44" s="203" t="e">
        <f>'2 полугодие'!#REF!+'по статьям 1 полугодие'!#REF!</f>
        <v>#REF!</v>
      </c>
      <c r="W44" s="203">
        <f>'2 полугодие'!S45+'по статьям 1 полугодие'!S45</f>
        <v>8387.718056074766</v>
      </c>
      <c r="X44" s="203">
        <f>'2 полугодие'!T45+'по статьям 1 полугодие'!T45</f>
        <v>6057.796373831776</v>
      </c>
      <c r="Y44" s="203">
        <f>'2 полугодие'!U45+'по статьям 1 полугодие'!U45</f>
        <v>5747.1394205607485</v>
      </c>
      <c r="Z44" s="203">
        <f>'2 полугодие'!V45+'по статьям 1 полугодие'!V45</f>
        <v>3028.898186915888</v>
      </c>
      <c r="AA44" s="203">
        <f>'2 полугодие'!W45+'по статьям 1 полугодие'!W45</f>
        <v>118593.012</v>
      </c>
      <c r="AB44" s="212">
        <f>'2 полугодие'!X45+'по статьям 1 полугодие'!X45</f>
        <v>29124.239999999998</v>
      </c>
      <c r="AC44" s="212">
        <f t="shared" si="18"/>
        <v>147717.252</v>
      </c>
      <c r="AD44" s="203" t="e">
        <f t="shared" si="19"/>
        <v>#REF!</v>
      </c>
      <c r="AE44" s="203">
        <f t="shared" si="20"/>
        <v>2679.41</v>
      </c>
      <c r="AF44" s="203">
        <f>'2 полугодие'!AB45+'по статьям 1 полугодие'!AB45</f>
        <v>61611.579066304344</v>
      </c>
      <c r="AG44" s="203">
        <f>'2 полугодие'!AC45+'по статьям 1 полугодие'!AC45</f>
        <v>28663.00854726611</v>
      </c>
      <c r="AH44" s="203" t="e">
        <f t="shared" si="21"/>
        <v>#REF!</v>
      </c>
      <c r="AI44" s="203" t="e">
        <f>'2 полугодие'!#REF!+'по статьям 1 полугодие'!#REF!</f>
        <v>#REF!</v>
      </c>
      <c r="AJ44" s="203">
        <f>'2 полугодие'!AD45+'по статьям 1 полугодие'!AD45</f>
        <v>8813.311972398504</v>
      </c>
      <c r="AK44" s="203">
        <f>'2 полугодие'!AE45+'по статьям 1 полугодие'!AE45</f>
        <v>6365.169757843363</v>
      </c>
      <c r="AL44" s="203">
        <f>'2 полугодие'!AF45+'по статьям 1 полугодие'!AF45</f>
        <v>6142.159645173857</v>
      </c>
      <c r="AM44" s="203">
        <f>'2 полугодие'!AG45+'по статьям 1 полугодие'!AG45</f>
        <v>3182.5848789216816</v>
      </c>
      <c r="AN44" s="213">
        <f>'2 полугодие'!AH45+'по статьям 1 полугодие'!AH45</f>
        <v>124841.12</v>
      </c>
      <c r="AO44" s="214">
        <f>'2 полугодие'!AI45+'по статьям 1 полугодие'!AI45</f>
        <v>28407.65</v>
      </c>
      <c r="AP44" s="212">
        <f t="shared" si="22"/>
        <v>153248.77</v>
      </c>
      <c r="AQ44" s="203">
        <f>'2 полугодие'!AK45+'по статьям 1 полугодие'!AK45</f>
        <v>1280</v>
      </c>
      <c r="AR44" s="203">
        <f t="shared" si="23"/>
        <v>2679.41</v>
      </c>
      <c r="AS44" s="203">
        <f>'2 полугодие'!AM45+'по статьям 1 полугодие'!AM45</f>
        <v>57240.257463284375</v>
      </c>
      <c r="AT44" s="203">
        <f>'2 полугодие'!AN45+'по статьям 1 полугодие'!AN45</f>
        <v>25814.051695594124</v>
      </c>
      <c r="AU44" s="203" t="e">
        <f>'2 полугодие'!#REF!+'по статьям 1 полугодие'!#REF!</f>
        <v>#REF!</v>
      </c>
      <c r="AV44" s="203" t="e">
        <f>'2 полугодие'!#REF!+'по статьям 1 полугодие'!#REF!</f>
        <v>#REF!</v>
      </c>
      <c r="AW44" s="203">
        <f>'2 полугодие'!AO45+'по статьям 1 полугодие'!AO45</f>
        <v>7988.302910547396</v>
      </c>
      <c r="AX44" s="203">
        <f>'2 полугодие'!AP45+'по статьям 1 полугодие'!AP45</f>
        <v>5769.329879839786</v>
      </c>
      <c r="AY44" s="203">
        <f>'2 полугодие'!AQ45+'по статьям 1 полугодие'!AQ45</f>
        <v>5473.46611481976</v>
      </c>
      <c r="AZ44" s="203">
        <f>'2 полугодие'!AR45+'по статьям 1 полугодие'!AR45</f>
        <v>2884.664939919893</v>
      </c>
      <c r="BA44" s="215" t="e">
        <f t="shared" si="24"/>
        <v>#REF!</v>
      </c>
      <c r="BB44" s="212">
        <f>'2 полугодие'!AT45+'по статьям 1 полугодие'!AT45</f>
        <v>27737.371428571427</v>
      </c>
      <c r="BC44" s="212" t="e">
        <f t="shared" si="25"/>
        <v>#REF!</v>
      </c>
      <c r="BD44" s="208" t="s">
        <v>40</v>
      </c>
    </row>
    <row r="45" spans="1:56" ht="15.75" thickBot="1">
      <c r="A45" s="26">
        <v>37</v>
      </c>
      <c r="B45" s="10" t="s">
        <v>41</v>
      </c>
      <c r="C45" s="11">
        <v>712.63</v>
      </c>
      <c r="D45" s="87" t="e">
        <f t="shared" si="13"/>
        <v>#REF!</v>
      </c>
      <c r="E45" s="87">
        <f>('2 полугодие'!E78+'по статьям 1 полугодие'!E46)/2</f>
        <v>0.1499995315259605</v>
      </c>
      <c r="F45" s="90"/>
      <c r="G45" s="87">
        <v>2.85</v>
      </c>
      <c r="H45" s="87" t="e">
        <f t="shared" si="14"/>
        <v>#REF!</v>
      </c>
      <c r="I45" s="87">
        <v>0.26</v>
      </c>
      <c r="J45" s="87">
        <v>1.03</v>
      </c>
      <c r="K45" s="87">
        <v>0.78</v>
      </c>
      <c r="L45" s="87">
        <v>0.58</v>
      </c>
      <c r="M45" s="87">
        <v>0.39</v>
      </c>
      <c r="N45" s="109">
        <v>11.92</v>
      </c>
      <c r="O45" s="5">
        <v>3.56</v>
      </c>
      <c r="P45" s="196">
        <f t="shared" si="15"/>
        <v>15.48</v>
      </c>
      <c r="Q45" s="13" t="e">
        <f t="shared" si="16"/>
        <v>#REF!</v>
      </c>
      <c r="R45" s="13">
        <f>('2 полугодие'!P46+'по статьям 1 полугодие'!P46)</f>
        <v>2945.73</v>
      </c>
      <c r="S45" s="13">
        <f>'2 полугодие'!Q46+'по статьям 1 полугодие'!Q46</f>
        <v>0</v>
      </c>
      <c r="T45" s="13">
        <f>'2 полугодие'!R46+'по статьям 1 полугодие'!R46</f>
        <v>29844.944088038275</v>
      </c>
      <c r="U45" s="13" t="e">
        <f t="shared" si="17"/>
        <v>#REF!</v>
      </c>
      <c r="V45" s="13" t="e">
        <f>'2 полугодие'!#REF!+'по статьям 1 полугодие'!#REF!</f>
        <v>#REF!</v>
      </c>
      <c r="W45" s="13">
        <f>'2 полугодие'!S46+'по статьям 1 полугодие'!S46</f>
        <v>9235.684696650718</v>
      </c>
      <c r="X45" s="13">
        <f>'2 полугодие'!T46+'по статьям 1 полугодие'!T46</f>
        <v>6670.216725358852</v>
      </c>
      <c r="Y45" s="13">
        <f>'2 полугодие'!U46+'по статьям 1 полугодие'!U46</f>
        <v>6328.154341626794</v>
      </c>
      <c r="Z45" s="13">
        <f>'2 полугодие'!V46+'по статьям 1 полугодие'!V46</f>
        <v>3335.108362679426</v>
      </c>
      <c r="AA45" s="13">
        <f>'2 полугодие'!W46+'по статьям 1 полугодие'!W46</f>
        <v>109331.6934</v>
      </c>
      <c r="AB45" s="15">
        <f>'2 полугодие'!X46+'по статьям 1 полугодие'!X46</f>
        <v>32068.515</v>
      </c>
      <c r="AC45" s="15">
        <f t="shared" si="18"/>
        <v>141400.2084</v>
      </c>
      <c r="AD45" s="13" t="e">
        <f t="shared" si="19"/>
        <v>#REF!</v>
      </c>
      <c r="AE45" s="13">
        <f t="shared" si="20"/>
        <v>2945.73</v>
      </c>
      <c r="AF45" s="13">
        <f>'2 полугодие'!AB46+'по статьям 1 полугодие'!AB46</f>
        <v>0</v>
      </c>
      <c r="AG45" s="13">
        <f>'2 полугодие'!AC46+'по статьям 1 полугодие'!AC46</f>
        <v>29080.65231647982</v>
      </c>
      <c r="AH45" s="13" t="e">
        <f t="shared" si="21"/>
        <v>#REF!</v>
      </c>
      <c r="AI45" s="13" t="e">
        <f>'2 полугодие'!#REF!+'по статьям 1 полугодие'!#REF!</f>
        <v>#REF!</v>
      </c>
      <c r="AJ45" s="13">
        <f>'2 полугодие'!AD46+'по статьям 1 полугодие'!AD46</f>
        <v>8958.639011776284</v>
      </c>
      <c r="AK45" s="13">
        <f>'2 полугодие'!AE46+'по статьям 1 полугодие'!AE46</f>
        <v>6470.12817517176</v>
      </c>
      <c r="AL45" s="13">
        <f>'2 полугодие'!AF46+'по статьям 1 полугодие'!AF46</f>
        <v>6212.356785004791</v>
      </c>
      <c r="AM45" s="13">
        <f>'2 полугодие'!AG46+'по статьям 1 полугодие'!AG46</f>
        <v>3235.06408758588</v>
      </c>
      <c r="AN45" s="16">
        <f>'2 полугодие'!AH46+'по статьям 1 полугодие'!AH46</f>
        <v>106191.555</v>
      </c>
      <c r="AO45" s="4">
        <f>'2 полугодие'!AI46+'по статьям 1 полугодие'!AI46</f>
        <v>30375.525</v>
      </c>
      <c r="AP45" s="15">
        <f t="shared" si="22"/>
        <v>136567.08</v>
      </c>
      <c r="AQ45" s="13">
        <f>'2 полугодие'!AK46+'по статьям 1 полугодие'!AK46</f>
        <v>28330.4</v>
      </c>
      <c r="AR45" s="13">
        <f t="shared" si="23"/>
        <v>2945.73</v>
      </c>
      <c r="AS45" s="13">
        <f>'2 полугодие'!AM46+'по статьям 1 полугодие'!AM46</f>
        <v>0</v>
      </c>
      <c r="AT45" s="13">
        <f>'2 полугодие'!AN46+'по статьям 1 полугодие'!AN46</f>
        <v>28423.756274322168</v>
      </c>
      <c r="AU45" s="13" t="e">
        <f>'2 полугодие'!#REF!+'по статьям 1 полугодие'!#REF!</f>
        <v>#REF!</v>
      </c>
      <c r="AV45" s="13" t="e">
        <f>'2 полугодие'!#REF!+'по статьям 1 полугодие'!#REF!</f>
        <v>#REF!</v>
      </c>
      <c r="AW45" s="13">
        <f>'2 полугодие'!AO46+'по статьям 1 полугодие'!AO46</f>
        <v>8795.890187286399</v>
      </c>
      <c r="AX45" s="13">
        <f>'2 полугодие'!AP46+'по статьям 1 полугодие'!AP46</f>
        <v>6352.587357484621</v>
      </c>
      <c r="AY45" s="13">
        <f>'2 полугодие'!AQ46+'по статьям 1 полугодие'!AQ46</f>
        <v>6026.813658692185</v>
      </c>
      <c r="AZ45" s="13">
        <f>'2 полугодие'!AR46+'по статьям 1 полугодие'!AR46</f>
        <v>3176.2936787423105</v>
      </c>
      <c r="BA45" s="22" t="e">
        <f t="shared" si="24"/>
        <v>#REF!</v>
      </c>
      <c r="BB45" s="15">
        <f>'2 полугодие'!AT46+'по статьям 1 полугодие'!AT46</f>
        <v>30541.442857142858</v>
      </c>
      <c r="BC45" s="15" t="e">
        <f t="shared" si="25"/>
        <v>#REF!</v>
      </c>
      <c r="BD45" s="10" t="s">
        <v>41</v>
      </c>
    </row>
    <row r="46" spans="1:56" s="204" customFormat="1" ht="15.75" thickBot="1">
      <c r="A46" s="26">
        <v>38</v>
      </c>
      <c r="B46" s="208" t="s">
        <v>42</v>
      </c>
      <c r="C46" s="37">
        <v>742.1</v>
      </c>
      <c r="D46" s="171" t="e">
        <f t="shared" si="13"/>
        <v>#REF!</v>
      </c>
      <c r="E46" s="171">
        <f>('2 полугодие'!E79+'по статьям 1 полугодие'!E47)/2</f>
        <v>0.15</v>
      </c>
      <c r="F46" s="172">
        <v>7.34</v>
      </c>
      <c r="G46" s="171">
        <v>2.85</v>
      </c>
      <c r="H46" s="171" t="e">
        <f t="shared" si="14"/>
        <v>#REF!</v>
      </c>
      <c r="I46" s="171">
        <v>0.26</v>
      </c>
      <c r="J46" s="171">
        <v>1.03</v>
      </c>
      <c r="K46" s="171">
        <v>0.78</v>
      </c>
      <c r="L46" s="171">
        <v>0.58</v>
      </c>
      <c r="M46" s="171">
        <v>0.39</v>
      </c>
      <c r="N46" s="173">
        <v>14.24</v>
      </c>
      <c r="O46" s="174">
        <v>3.56</v>
      </c>
      <c r="P46" s="211">
        <f t="shared" si="15"/>
        <v>17.8</v>
      </c>
      <c r="Q46" s="203" t="e">
        <f t="shared" si="16"/>
        <v>#REF!</v>
      </c>
      <c r="R46" s="203">
        <f>('2 полугодие'!P47+'по статьям 1 полугодие'!P47)</f>
        <v>3072.29</v>
      </c>
      <c r="S46" s="203">
        <f>'2 полугодие'!Q47+'по статьям 1 полугодие'!Q47</f>
        <v>67234.26604806408</v>
      </c>
      <c r="T46" s="203">
        <f>'2 полугодие'!R47+'по статьям 1 полугодие'!R47</f>
        <v>31079.15061148197</v>
      </c>
      <c r="U46" s="203" t="e">
        <f t="shared" si="17"/>
        <v>#REF!</v>
      </c>
      <c r="V46" s="203" t="e">
        <f>'2 полугодие'!#REF!+'по статьям 1 полугодие'!#REF!</f>
        <v>#REF!</v>
      </c>
      <c r="W46" s="203">
        <f>'2 полугодие'!S47+'по статьям 1 полугодие'!S47</f>
        <v>9617.616865153537</v>
      </c>
      <c r="X46" s="203">
        <f>'2 полугодие'!T47+'по статьям 1 полугодие'!T47</f>
        <v>6946.056624833111</v>
      </c>
      <c r="Y46" s="203">
        <f>'2 полугодие'!U47+'по статьям 1 полугодие'!U47</f>
        <v>6589.848488651534</v>
      </c>
      <c r="Z46" s="203">
        <f>'2 полугодие'!V47+'по статьям 1 полугодие'!V47</f>
        <v>3473.0283124165553</v>
      </c>
      <c r="AA46" s="203">
        <f>'2 полугодие'!W47+'по статьям 1 полугодие'!W47</f>
        <v>135982.416</v>
      </c>
      <c r="AB46" s="212">
        <f>'2 полугодие'!X47+'по статьям 1 полугодие'!X47</f>
        <v>33394.89</v>
      </c>
      <c r="AC46" s="212">
        <f t="shared" si="18"/>
        <v>169377.30599999998</v>
      </c>
      <c r="AD46" s="203" t="e">
        <f t="shared" si="19"/>
        <v>#REF!</v>
      </c>
      <c r="AE46" s="203">
        <f t="shared" si="20"/>
        <v>3072.29</v>
      </c>
      <c r="AF46" s="203">
        <f>'2 полугодие'!AB47+'по статьям 1 полугодие'!AB47</f>
        <v>65130.15264143965</v>
      </c>
      <c r="AG46" s="203">
        <f>'2 полугодие'!AC47+'по статьям 1 полугодие'!AC47</f>
        <v>30262.53065832421</v>
      </c>
      <c r="AH46" s="203" t="e">
        <f t="shared" si="21"/>
        <v>#REF!</v>
      </c>
      <c r="AI46" s="203" t="e">
        <f>'2 полугодие'!#REF!+'по статьям 1 полугодие'!#REF!</f>
        <v>#REF!</v>
      </c>
      <c r="AJ46" s="203">
        <f>'2 полугодие'!AD47+'по статьям 1 полугодие'!AD47</f>
        <v>9316.631106325143</v>
      </c>
      <c r="AK46" s="203">
        <f>'2 полугодие'!AE47+'по статьям 1 полугодие'!AE47</f>
        <v>6728.678021234826</v>
      </c>
      <c r="AL46" s="203">
        <f>'2 полугодие'!AF47+'по статьям 1 полугодие'!AF47</f>
        <v>6471.797044225205</v>
      </c>
      <c r="AM46" s="203">
        <f>'2 полугодие'!AG47+'по статьям 1 полугодие'!AG47</f>
        <v>3364.339010617413</v>
      </c>
      <c r="AN46" s="213">
        <f>'2 полугодие'!AH47+'по статьям 1 полугодие'!AH47</f>
        <v>131923.52</v>
      </c>
      <c r="AO46" s="214">
        <f>'2 полугодие'!AI47+'по статьям 1 полугодие'!AI47</f>
        <v>31124.72</v>
      </c>
      <c r="AP46" s="212">
        <f t="shared" si="22"/>
        <v>163048.24</v>
      </c>
      <c r="AQ46" s="203">
        <f>'2 полугодие'!AK47+'по статьям 1 полугодие'!AK47</f>
        <v>126011.7</v>
      </c>
      <c r="AR46" s="203">
        <f t="shared" si="23"/>
        <v>3072.29</v>
      </c>
      <c r="AS46" s="203">
        <f>'2 полугодие'!AM47+'по статьям 1 полугодие'!AM47</f>
        <v>65633.45004577532</v>
      </c>
      <c r="AT46" s="203">
        <f>'2 полугодие'!AN47+'по статьям 1 полугодие'!AN47</f>
        <v>29599.191058554257</v>
      </c>
      <c r="AU46" s="203" t="e">
        <f>'2 полугодие'!#REF!+'по статьям 1 полугодие'!#REF!</f>
        <v>#REF!</v>
      </c>
      <c r="AV46" s="203" t="e">
        <f>'2 полугодие'!#REF!+'по статьям 1 полугодие'!#REF!</f>
        <v>#REF!</v>
      </c>
      <c r="AW46" s="203">
        <f>'2 полугодие'!AO47+'по статьям 1 полугодие'!AO47</f>
        <v>9159.635109670035</v>
      </c>
      <c r="AX46" s="203">
        <f>'2 полугодие'!AP47+'по статьям 1 полугодие'!AP47</f>
        <v>6615.2920236505815</v>
      </c>
      <c r="AY46" s="203">
        <f>'2 полугодие'!AQ47+'по статьям 1 полугодие'!AQ47</f>
        <v>6276.046179668128</v>
      </c>
      <c r="AZ46" s="203">
        <f>'2 полугодие'!AR47+'по статьям 1 полугодие'!AR47</f>
        <v>3307.6460118252908</v>
      </c>
      <c r="BA46" s="215" t="e">
        <f t="shared" si="24"/>
        <v>#REF!</v>
      </c>
      <c r="BB46" s="212">
        <f>'2 полугодие'!AT47+'по статьям 1 полугодие'!AT47</f>
        <v>31804.65714285714</v>
      </c>
      <c r="BC46" s="212" t="e">
        <f t="shared" si="25"/>
        <v>#REF!</v>
      </c>
      <c r="BD46" s="208" t="s">
        <v>42</v>
      </c>
    </row>
    <row r="47" spans="1:56" s="204" customFormat="1" ht="15.75" thickBot="1">
      <c r="A47" s="26">
        <v>39</v>
      </c>
      <c r="B47" s="208" t="s">
        <v>88</v>
      </c>
      <c r="C47" s="37">
        <v>742.31</v>
      </c>
      <c r="D47" s="171" t="e">
        <f t="shared" si="13"/>
        <v>#REF!</v>
      </c>
      <c r="E47" s="171">
        <f>('2 полугодие'!E80+'по статьям 1 полугодие'!E48)/2</f>
        <v>0.15001032811987805</v>
      </c>
      <c r="F47" s="172">
        <v>7.34</v>
      </c>
      <c r="G47" s="171">
        <v>2.85</v>
      </c>
      <c r="H47" s="171" t="e">
        <f t="shared" si="14"/>
        <v>#REF!</v>
      </c>
      <c r="I47" s="171">
        <v>0.26</v>
      </c>
      <c r="J47" s="171">
        <v>1.03</v>
      </c>
      <c r="K47" s="171">
        <v>0.78</v>
      </c>
      <c r="L47" s="171">
        <v>0.58</v>
      </c>
      <c r="M47" s="171">
        <v>0.39</v>
      </c>
      <c r="N47" s="173">
        <v>14.24</v>
      </c>
      <c r="O47" s="174">
        <v>3.56</v>
      </c>
      <c r="P47" s="211">
        <f t="shared" si="15"/>
        <v>17.8</v>
      </c>
      <c r="Q47" s="203" t="e">
        <f t="shared" si="16"/>
        <v>#REF!</v>
      </c>
      <c r="R47" s="203">
        <f>('2 полугодие'!P48+'по статьям 1 полугодие'!P48)</f>
        <v>3073.37</v>
      </c>
      <c r="S47" s="203">
        <f>'2 полугодие'!Q48+'по статьям 1 полугодие'!Q48</f>
        <v>67253.2442683578</v>
      </c>
      <c r="T47" s="203">
        <f>'2 полугодие'!R48+'по статьям 1 полугодие'!R48</f>
        <v>31087.924780774363</v>
      </c>
      <c r="U47" s="203" t="e">
        <f t="shared" si="17"/>
        <v>#REF!</v>
      </c>
      <c r="V47" s="203" t="e">
        <f>'2 полугодие'!#REF!+'по статьям 1 полугодие'!#REF!</f>
        <v>#REF!</v>
      </c>
      <c r="W47" s="203">
        <f>'2 полугодие'!S48+'по статьям 1 полугодие'!S48</f>
        <v>9620.331630440589</v>
      </c>
      <c r="X47" s="203">
        <f>'2 полугодие'!T48+'по статьям 1 полугодие'!T48</f>
        <v>6948.017288651536</v>
      </c>
      <c r="Y47" s="203">
        <f>'2 полугодие'!U48+'по статьям 1 полугодие'!U48</f>
        <v>6591.709428304405</v>
      </c>
      <c r="Z47" s="203">
        <f>'2 полугодие'!V48+'по статьям 1 полугодие'!V48</f>
        <v>3474.008644325768</v>
      </c>
      <c r="AA47" s="203">
        <f>'2 полугодие'!W48+'по статьям 1 полугодие'!W48</f>
        <v>136020.8016</v>
      </c>
      <c r="AB47" s="212">
        <f>'2 полугодие'!X48+'по статьям 1 полугодие'!X48</f>
        <v>33404.175</v>
      </c>
      <c r="AC47" s="212">
        <f t="shared" si="18"/>
        <v>169424.9766</v>
      </c>
      <c r="AD47" s="203" t="e">
        <f t="shared" si="19"/>
        <v>#REF!</v>
      </c>
      <c r="AE47" s="203">
        <f t="shared" si="20"/>
        <v>3073.37</v>
      </c>
      <c r="AF47" s="203">
        <f>'2 полугодие'!AB48+'по статьям 1 полугодие'!AB48</f>
        <v>67967.85865509196</v>
      </c>
      <c r="AG47" s="203">
        <f>'2 полугодие'!AC48+'по статьям 1 полугодие'!AC48</f>
        <v>31536.098924306956</v>
      </c>
      <c r="AH47" s="203" t="e">
        <f t="shared" si="21"/>
        <v>#REF!</v>
      </c>
      <c r="AI47" s="203" t="e">
        <f>'2 полугодие'!#REF!+'по статьям 1 полугодие'!#REF!</f>
        <v>#REF!</v>
      </c>
      <c r="AJ47" s="203">
        <f>'2 полугодие'!AD48+'по статьям 1 полугодие'!AD48</f>
        <v>9722.554615562825</v>
      </c>
      <c r="AK47" s="203">
        <f>'2 полугодие'!AE48+'по статьям 1 полугодие'!AE48</f>
        <v>7021.845000128706</v>
      </c>
      <c r="AL47" s="203">
        <f>'2 полугодие'!AF48+'по статьям 1 полугодие'!AF48</f>
        <v>6728.357711194189</v>
      </c>
      <c r="AM47" s="203">
        <f>'2 полугодие'!AG48+'по статьям 1 полугодие'!AG48</f>
        <v>3510.922500064353</v>
      </c>
      <c r="AN47" s="213">
        <f>'2 полугодие'!AH48+'по статьям 1 полугодие'!AH48</f>
        <v>137614.70500000002</v>
      </c>
      <c r="AO47" s="214">
        <f>'2 полугодие'!AI48+'по статьям 1 полугодие'!AI48</f>
        <v>32614.045</v>
      </c>
      <c r="AP47" s="212">
        <f t="shared" si="22"/>
        <v>170228.75</v>
      </c>
      <c r="AQ47" s="203">
        <f>'2 полугодие'!AK48+'по статьям 1 полугодие'!AK48</f>
        <v>173296.1</v>
      </c>
      <c r="AR47" s="203">
        <f t="shared" si="23"/>
        <v>3073.37</v>
      </c>
      <c r="AS47" s="203">
        <f>'2 полугодие'!AM48+'по статьям 1 полугодие'!AM48</f>
        <v>65651.97754129313</v>
      </c>
      <c r="AT47" s="203">
        <f>'2 полугодие'!AN48+'по статьям 1 полугодие'!AN48</f>
        <v>29607.547410261297</v>
      </c>
      <c r="AU47" s="203" t="e">
        <f>'2 полугодие'!#REF!+'по статьям 1 полугодие'!#REF!</f>
        <v>#REF!</v>
      </c>
      <c r="AV47" s="203" t="e">
        <f>'2 полугодие'!#REF!+'по статьям 1 полугодие'!#REF!</f>
        <v>#REF!</v>
      </c>
      <c r="AW47" s="203">
        <f>'2 полугодие'!AO48+'по статьям 1 полугодие'!AO48</f>
        <v>9162.220600419609</v>
      </c>
      <c r="AX47" s="203">
        <f>'2 полугодие'!AP48+'по статьям 1 полугодие'!AP48</f>
        <v>6617.159322525271</v>
      </c>
      <c r="AY47" s="203">
        <f>'2 полугодие'!AQ48+'по статьям 1 полугодие'!AQ48</f>
        <v>6277.818503147053</v>
      </c>
      <c r="AZ47" s="203">
        <f>'2 полугодие'!AR48+'по статьям 1 полугодие'!AR48</f>
        <v>3308.5796612626355</v>
      </c>
      <c r="BA47" s="215" t="e">
        <f t="shared" si="24"/>
        <v>#REF!</v>
      </c>
      <c r="BB47" s="212">
        <f>'2 полугодие'!AT48+'по статьям 1 полугодие'!AT48</f>
        <v>31813.5</v>
      </c>
      <c r="BC47" s="212" t="e">
        <f t="shared" si="25"/>
        <v>#REF!</v>
      </c>
      <c r="BD47" s="208" t="s">
        <v>96</v>
      </c>
    </row>
    <row r="48" spans="1:56" ht="15">
      <c r="A48" s="26">
        <v>40</v>
      </c>
      <c r="B48" s="9" t="s">
        <v>43</v>
      </c>
      <c r="C48" s="11">
        <v>751.4</v>
      </c>
      <c r="D48" s="87" t="e">
        <f t="shared" si="13"/>
        <v>#REF!</v>
      </c>
      <c r="E48" s="87">
        <f>('2 полугодие'!E81+'по статьям 1 полугодие'!E49)/2</f>
        <v>0.15</v>
      </c>
      <c r="F48" s="89"/>
      <c r="G48" s="87">
        <v>2.85</v>
      </c>
      <c r="H48" s="87" t="e">
        <f t="shared" si="14"/>
        <v>#REF!</v>
      </c>
      <c r="I48" s="87">
        <v>0.26</v>
      </c>
      <c r="J48" s="87">
        <v>1.03</v>
      </c>
      <c r="K48" s="87">
        <v>0.78</v>
      </c>
      <c r="L48" s="87">
        <v>0.58</v>
      </c>
      <c r="M48" s="87">
        <v>0.39</v>
      </c>
      <c r="N48" s="109">
        <v>11.92</v>
      </c>
      <c r="O48" s="5">
        <v>3.56</v>
      </c>
      <c r="P48" s="196">
        <f t="shared" si="15"/>
        <v>15.48</v>
      </c>
      <c r="Q48" s="13" t="e">
        <f t="shared" si="16"/>
        <v>#REF!</v>
      </c>
      <c r="R48" s="13">
        <f>('2 полугодие'!P49+'по статьям 1 полугодие'!P49)</f>
        <v>3110.8</v>
      </c>
      <c r="S48" s="13">
        <f>'2 полугодие'!Q49+'по статьям 1 полугодие'!Q49</f>
        <v>0</v>
      </c>
      <c r="T48" s="13">
        <f>'2 полугодие'!R49+'по статьям 1 полугодие'!R49</f>
        <v>31468.63823923445</v>
      </c>
      <c r="U48" s="13" t="e">
        <f t="shared" si="17"/>
        <v>#REF!</v>
      </c>
      <c r="V48" s="13" t="e">
        <f>'2 полугодие'!#REF!+'по статьям 1 полугодие'!#REF!</f>
        <v>#REF!</v>
      </c>
      <c r="W48" s="13">
        <f>'2 полугодие'!S49+'по статьям 1 полугодие'!S49</f>
        <v>9738.146066985646</v>
      </c>
      <c r="X48" s="13">
        <f>'2 полугодие'!T49+'по статьям 1 полугодие'!T49</f>
        <v>7033.105492822966</v>
      </c>
      <c r="Y48" s="13">
        <f>'2 полугодие'!U49+'по статьям 1 полугодие'!U49</f>
        <v>6672.433167464114</v>
      </c>
      <c r="Z48" s="13">
        <f>'2 полугодие'!V49+'по статьям 1 полугодие'!V49</f>
        <v>3516.552746411483</v>
      </c>
      <c r="AA48" s="13">
        <f>'2 полугодие'!W49+'по статьям 1 полугодие'!W49</f>
        <v>115279.812</v>
      </c>
      <c r="AB48" s="15">
        <f>'2 полугодие'!X49+'по статьям 1 полугодие'!X49</f>
        <v>33813.3</v>
      </c>
      <c r="AC48" s="15">
        <f t="shared" si="18"/>
        <v>149093.11200000002</v>
      </c>
      <c r="AD48" s="13" t="e">
        <f t="shared" si="19"/>
        <v>#REF!</v>
      </c>
      <c r="AE48" s="13">
        <f t="shared" si="20"/>
        <v>3110.8</v>
      </c>
      <c r="AF48" s="13">
        <f>'2 полугодие'!AB49+'по статьям 1 полугодие'!AB49</f>
        <v>0</v>
      </c>
      <c r="AG48" s="13">
        <f>'2 полугодие'!AC49+'по статьям 1 полугодие'!AC49</f>
        <v>31501.65855154526</v>
      </c>
      <c r="AH48" s="13" t="e">
        <f t="shared" si="21"/>
        <v>#REF!</v>
      </c>
      <c r="AI48" s="13" t="e">
        <f>'2 полугодие'!#REF!+'по статьям 1 полугодие'!#REF!</f>
        <v>#REF!</v>
      </c>
      <c r="AJ48" s="13">
        <f>'2 полугодие'!AD49+'по статьям 1 полугодие'!AD49</f>
        <v>9744.853544598955</v>
      </c>
      <c r="AK48" s="13">
        <f>'2 полугодие'!AE49+'по статьям 1 полугодие'!AE49</f>
        <v>7037.949782210357</v>
      </c>
      <c r="AL48" s="13">
        <f>'2 полугодие'!AF49+'по статьям 1 полугодие'!AF49</f>
        <v>6683.441548885469</v>
      </c>
      <c r="AM48" s="13">
        <f>'2 полугодие'!AG49+'по статьям 1 полугодие'!AG49</f>
        <v>3518.9748911051784</v>
      </c>
      <c r="AN48" s="16">
        <f>'2 полугодие'!AH49+'по статьям 1 полугодие'!AH49</f>
        <v>115371.29999999999</v>
      </c>
      <c r="AO48" s="4">
        <f>'2 полугодие'!AI49+'по статьям 1 полугодие'!AI49</f>
        <v>33585.57</v>
      </c>
      <c r="AP48" s="15">
        <f t="shared" si="22"/>
        <v>148956.87</v>
      </c>
      <c r="AQ48" s="13">
        <f>'2 полугодие'!AK49+'по статьям 1 полугодие'!AK49</f>
        <v>1516.9</v>
      </c>
      <c r="AR48" s="13">
        <f t="shared" si="23"/>
        <v>3110.8</v>
      </c>
      <c r="AS48" s="13">
        <f>'2 полугодие'!AM49+'по статьям 1 полугодие'!AM49</f>
        <v>0</v>
      </c>
      <c r="AT48" s="13">
        <f>'2 полугодие'!AN49+'по статьям 1 полугодие'!AN49</f>
        <v>29970.13165641376</v>
      </c>
      <c r="AU48" s="13" t="e">
        <f>'2 полугодие'!#REF!+'по статьям 1 полугодие'!#REF!</f>
        <v>#REF!</v>
      </c>
      <c r="AV48" s="13" t="e">
        <f>'2 полугодие'!#REF!+'по статьям 1 полугодие'!#REF!</f>
        <v>#REF!</v>
      </c>
      <c r="AW48" s="13">
        <f>'2 полугодие'!AO49+'по статьям 1 полугодие'!AO49</f>
        <v>9274.424825700615</v>
      </c>
      <c r="AX48" s="13">
        <f>'2 полугодие'!AP49+'по статьям 1 полугодие'!AP49</f>
        <v>6698.195707450444</v>
      </c>
      <c r="AY48" s="13">
        <f>'2 полугодие'!AQ49+'по статьям 1 полугодие'!AQ49</f>
        <v>6354.6982547277275</v>
      </c>
      <c r="AZ48" s="13">
        <f>'2 полугодие'!AR49+'по статьям 1 полугодие'!AR49</f>
        <v>3349.097853725222</v>
      </c>
      <c r="BA48" s="22" t="e">
        <f t="shared" si="24"/>
        <v>#REF!</v>
      </c>
      <c r="BB48" s="15">
        <f>'2 полугодие'!AT49+'по статьям 1 полугодие'!AT49</f>
        <v>32203.142857142855</v>
      </c>
      <c r="BC48" s="15" t="e">
        <f t="shared" si="25"/>
        <v>#REF!</v>
      </c>
      <c r="BD48" s="9" t="s">
        <v>43</v>
      </c>
    </row>
    <row r="49" spans="1:56" ht="15">
      <c r="A49" s="26">
        <v>41</v>
      </c>
      <c r="B49" s="9" t="s">
        <v>44</v>
      </c>
      <c r="C49" s="11">
        <v>744.11</v>
      </c>
      <c r="D49" s="87" t="e">
        <f t="shared" si="13"/>
        <v>#REF!</v>
      </c>
      <c r="E49" s="87">
        <f>('2 полугодие'!E82+'по статьям 1 полугодие'!E50)/2</f>
        <v>0.15000022398122143</v>
      </c>
      <c r="F49" s="87"/>
      <c r="G49" s="87">
        <v>2.85</v>
      </c>
      <c r="H49" s="87" t="e">
        <f t="shared" si="14"/>
        <v>#REF!</v>
      </c>
      <c r="I49" s="87">
        <v>0.26</v>
      </c>
      <c r="J49" s="87">
        <v>1.03</v>
      </c>
      <c r="K49" s="87">
        <v>0.78</v>
      </c>
      <c r="L49" s="87">
        <v>0.58</v>
      </c>
      <c r="M49" s="87">
        <v>0.39</v>
      </c>
      <c r="N49" s="109">
        <v>11.92</v>
      </c>
      <c r="O49" s="5">
        <v>3.56</v>
      </c>
      <c r="P49" s="196">
        <f t="shared" si="15"/>
        <v>15.48</v>
      </c>
      <c r="Q49" s="13" t="e">
        <f t="shared" si="16"/>
        <v>#REF!</v>
      </c>
      <c r="R49" s="13">
        <f>('2 полугодие'!P50+'по статьям 1 полугодие'!P50)</f>
        <v>3080.62</v>
      </c>
      <c r="S49" s="13">
        <f>'2 полугодие'!Q50+'по статьям 1 полугодие'!Q50</f>
        <v>0</v>
      </c>
      <c r="T49" s="13">
        <f>'2 полугодие'!R50+'по статьям 1 полугодие'!R50</f>
        <v>31163.343333971294</v>
      </c>
      <c r="U49" s="13" t="e">
        <f t="shared" si="17"/>
        <v>#REF!</v>
      </c>
      <c r="V49" s="13" t="e">
        <f>'2 полугодие'!#REF!+'по статьям 1 полугодие'!#REF!</f>
        <v>#REF!</v>
      </c>
      <c r="W49" s="13">
        <f>'2 полугодие'!S50+'по статьям 1 полугодие'!S50</f>
        <v>9643.671077511963</v>
      </c>
      <c r="X49" s="13">
        <f>'2 полугодие'!T50+'по статьям 1 полугодие'!T50</f>
        <v>6964.873555980861</v>
      </c>
      <c r="Y49" s="13">
        <f>'2 полугодие'!U50+'по статьям 1 полугодие'!U50</f>
        <v>6607.699893779904</v>
      </c>
      <c r="Z49" s="13">
        <f>'2 полугодие'!V50+'по статьям 1 полугодие'!V50</f>
        <v>3482.4367779904305</v>
      </c>
      <c r="AA49" s="13">
        <f>'2 полугодие'!W50+'по статьям 1 полугодие'!W50</f>
        <v>114161.4198</v>
      </c>
      <c r="AB49" s="15">
        <f>'2 полугодие'!X50+'по статьям 1 полугодие'!X50</f>
        <v>33485.115</v>
      </c>
      <c r="AC49" s="15">
        <f t="shared" si="18"/>
        <v>147646.5348</v>
      </c>
      <c r="AD49" s="13" t="e">
        <f t="shared" si="19"/>
        <v>#REF!</v>
      </c>
      <c r="AE49" s="13">
        <f t="shared" si="20"/>
        <v>3080.62</v>
      </c>
      <c r="AF49" s="13">
        <f>'2 полугодие'!AB50+'по статьям 1 полугодие'!AB50</f>
        <v>0</v>
      </c>
      <c r="AG49" s="13">
        <f>'2 полугодие'!AC50+'по статьям 1 полугодие'!AC50</f>
        <v>31056.38281045704</v>
      </c>
      <c r="AH49" s="13" t="e">
        <f t="shared" si="21"/>
        <v>#REF!</v>
      </c>
      <c r="AI49" s="13" t="e">
        <f>'2 полугодие'!#REF!+'по статьям 1 полугодие'!#REF!</f>
        <v>#REF!</v>
      </c>
      <c r="AJ49" s="13">
        <f>'2 полугодие'!AD50+'по статьям 1 полугодие'!AD50</f>
        <v>9549.149417575196</v>
      </c>
      <c r="AK49" s="13">
        <f>'2 полугодие'!AE50+'по статьям 1 полугодие'!AE50</f>
        <v>6896.607912693196</v>
      </c>
      <c r="AL49" s="13">
        <f>'2 полугодие'!AF50+'по статьям 1 полугодие'!AF50</f>
        <v>6655.1219271562</v>
      </c>
      <c r="AM49" s="13">
        <f>'2 полугодие'!AG50+'по статьям 1 полугодие'!AG50</f>
        <v>3448.303956346598</v>
      </c>
      <c r="AN49" s="16">
        <f>'2 полугодие'!AH50+'по статьям 1 полугодие'!AH50</f>
        <v>113253.905</v>
      </c>
      <c r="AO49" s="4">
        <f>'2 полугодие'!AI50+'по статьям 1 полугодие'!AI50</f>
        <v>31709.155</v>
      </c>
      <c r="AP49" s="15">
        <f t="shared" si="22"/>
        <v>144963.06</v>
      </c>
      <c r="AQ49" s="13">
        <f>'2 полугодие'!AK50+'по статьям 1 полугодие'!AK50</f>
        <v>4620.1</v>
      </c>
      <c r="AR49" s="13">
        <f t="shared" si="23"/>
        <v>3080.62</v>
      </c>
      <c r="AS49" s="13">
        <f>'2 полугодие'!AM50+'по статьям 1 полугодие'!AM50</f>
        <v>0</v>
      </c>
      <c r="AT49" s="13">
        <f>'2 полугодие'!AN50+'по статьям 1 полугодие'!AN50</f>
        <v>29679.374603782184</v>
      </c>
      <c r="AU49" s="13" t="e">
        <f>'2 полугодие'!#REF!+'по статьям 1 полугодие'!#REF!</f>
        <v>#REF!</v>
      </c>
      <c r="AV49" s="13" t="e">
        <f>'2 полугодие'!#REF!+'по статьям 1 полугодие'!#REF!</f>
        <v>#REF!</v>
      </c>
      <c r="AW49" s="13">
        <f>'2 полугодие'!AO50+'по статьям 1 полугодие'!AO50</f>
        <v>9184.44864524949</v>
      </c>
      <c r="AX49" s="13">
        <f>'2 полугодие'!AP50+'по статьям 1 полугодие'!AP50</f>
        <v>6633.2129104579635</v>
      </c>
      <c r="AY49" s="13">
        <f>'2 полугодие'!AQ50+'по статьям 1 полугодие'!AQ50</f>
        <v>6293.047517885623</v>
      </c>
      <c r="AZ49" s="13">
        <f>'2 полугодие'!AR50+'по статьям 1 полугодие'!AR50</f>
        <v>3316.6064552289818</v>
      </c>
      <c r="BA49" s="22" t="e">
        <f t="shared" si="24"/>
        <v>#REF!</v>
      </c>
      <c r="BB49" s="15">
        <f>'2 полугодие'!AT50+'по статьям 1 полугодие'!AT50</f>
        <v>31890.585714285713</v>
      </c>
      <c r="BC49" s="15" t="e">
        <f t="shared" si="25"/>
        <v>#REF!</v>
      </c>
      <c r="BD49" s="9" t="s">
        <v>44</v>
      </c>
    </row>
    <row r="50" spans="1:56" ht="15">
      <c r="A50" s="26">
        <v>42</v>
      </c>
      <c r="B50" s="9" t="s">
        <v>45</v>
      </c>
      <c r="C50" s="11">
        <v>569.7</v>
      </c>
      <c r="D50" s="87" t="e">
        <f t="shared" si="13"/>
        <v>#REF!</v>
      </c>
      <c r="E50" s="87">
        <f>('2 полугодие'!E83+'по статьям 1 полугодие'!E51)/2</f>
        <v>0.15</v>
      </c>
      <c r="F50" s="87"/>
      <c r="G50" s="87">
        <v>2.85</v>
      </c>
      <c r="H50" s="87" t="e">
        <f t="shared" si="14"/>
        <v>#REF!</v>
      </c>
      <c r="I50" s="87">
        <v>0.26</v>
      </c>
      <c r="J50" s="87">
        <v>1.03</v>
      </c>
      <c r="K50" s="87">
        <v>0.78</v>
      </c>
      <c r="L50" s="87">
        <v>0.58</v>
      </c>
      <c r="M50" s="87">
        <v>0.39</v>
      </c>
      <c r="N50" s="109">
        <v>11.92</v>
      </c>
      <c r="O50" s="5">
        <v>3.56</v>
      </c>
      <c r="P50" s="196">
        <f t="shared" si="15"/>
        <v>15.48</v>
      </c>
      <c r="Q50" s="13" t="e">
        <f t="shared" si="16"/>
        <v>#REF!</v>
      </c>
      <c r="R50" s="13">
        <f>('2 полугодие'!P51+'по статьям 1 полугодие'!P51)</f>
        <v>2358.56</v>
      </c>
      <c r="S50" s="13">
        <f>'2 полугодие'!Q51+'по статьям 1 полугодие'!Q51</f>
        <v>0</v>
      </c>
      <c r="T50" s="13">
        <f>'2 полугодие'!R51+'по статьям 1 полугодие'!R51</f>
        <v>23859.039119617228</v>
      </c>
      <c r="U50" s="13" t="e">
        <f t="shared" si="17"/>
        <v>#REF!</v>
      </c>
      <c r="V50" s="13" t="e">
        <f>'2 полугодие'!#REF!+'по статьям 1 полугодие'!#REF!</f>
        <v>#REF!</v>
      </c>
      <c r="W50" s="13">
        <f>'2 полугодие'!S51+'по статьям 1 полугодие'!S51</f>
        <v>7383.313033492824</v>
      </c>
      <c r="X50" s="13">
        <f>'2 полугодие'!T51+'по статьям 1 полугодие'!T51</f>
        <v>5332.392746411484</v>
      </c>
      <c r="Y50" s="13">
        <f>'2 полугодие'!U51+'по статьям 1 полугодие'!U51</f>
        <v>5058.936583732058</v>
      </c>
      <c r="Z50" s="13">
        <f>'2 полугодие'!V51+'по статьям 1 полугодие'!V51</f>
        <v>2666.196373205742</v>
      </c>
      <c r="AA50" s="13">
        <f>'2 полугодие'!W51+'по статьям 1 полугодие'!W51</f>
        <v>87403.386</v>
      </c>
      <c r="AB50" s="15">
        <f>'2 полугодие'!X51+'по статьям 1 полугодие'!X51</f>
        <v>25636.53</v>
      </c>
      <c r="AC50" s="15">
        <f t="shared" si="18"/>
        <v>113039.916</v>
      </c>
      <c r="AD50" s="13" t="e">
        <f t="shared" si="19"/>
        <v>#REF!</v>
      </c>
      <c r="AE50" s="13">
        <f t="shared" si="20"/>
        <v>2358.56</v>
      </c>
      <c r="AF50" s="13">
        <f>'2 полугодие'!AB51+'по статьям 1 полугодие'!AB51</f>
        <v>0</v>
      </c>
      <c r="AG50" s="13">
        <f>'2 полугодие'!AC51+'по статьям 1 полугодие'!AC51</f>
        <v>21867.955382866923</v>
      </c>
      <c r="AH50" s="13" t="e">
        <f t="shared" si="21"/>
        <v>#REF!</v>
      </c>
      <c r="AI50" s="13" t="e">
        <f>'2 полугодие'!#REF!+'по статьям 1 полугодие'!#REF!</f>
        <v>#REF!</v>
      </c>
      <c r="AJ50" s="13">
        <f>'2 полугодие'!AD51+'по статьям 1 полугодие'!AD51</f>
        <v>6803.2803959210805</v>
      </c>
      <c r="AK50" s="13">
        <f>'2 полугодие'!AE51+'по статьям 1 полугодие'!AE51</f>
        <v>4913.480285943003</v>
      </c>
      <c r="AL50" s="13">
        <f>'2 полугодие'!AF51+'по статьям 1 полугодие'!AF51</f>
        <v>4595.535199319201</v>
      </c>
      <c r="AM50" s="13">
        <f>'2 полугодие'!AG51+'по статьям 1 полугодие'!AG51</f>
        <v>2456.7401429715014</v>
      </c>
      <c r="AN50" s="16">
        <f>'2 полугодие'!AH51+'по статьям 1 полугодие'!AH51</f>
        <v>80412.65</v>
      </c>
      <c r="AO50" s="4">
        <f>'2 полугодие'!AI51+'по статьям 1 полугодие'!AI51</f>
        <v>24620.47</v>
      </c>
      <c r="AP50" s="15">
        <f t="shared" si="22"/>
        <v>105033.12</v>
      </c>
      <c r="AQ50" s="13">
        <f>'2 полугодие'!AK51+'по статьям 1 полугодие'!AK51</f>
        <v>37504.8</v>
      </c>
      <c r="AR50" s="13">
        <f t="shared" si="23"/>
        <v>2358.56</v>
      </c>
      <c r="AS50" s="13">
        <f>'2 полугодие'!AM51+'по статьям 1 полугодие'!AM51</f>
        <v>0</v>
      </c>
      <c r="AT50" s="13">
        <f>'2 полугодие'!AN51+'по статьям 1 полугодие'!AN51</f>
        <v>22722.89439963545</v>
      </c>
      <c r="AU50" s="13" t="e">
        <f>'2 полугодие'!#REF!+'по статьям 1 полугодие'!#REF!</f>
        <v>#REF!</v>
      </c>
      <c r="AV50" s="13" t="e">
        <f>'2 полугодие'!#REF!+'по статьям 1 полугодие'!#REF!</f>
        <v>#REF!</v>
      </c>
      <c r="AW50" s="13">
        <f>'2 полугодие'!AO51+'по статьям 1 полугодие'!AO51</f>
        <v>7031.726698564594</v>
      </c>
      <c r="AX50" s="13">
        <f>'2 полугодие'!AP51+'по статьям 1 полугодие'!AP51</f>
        <v>5078.469282296652</v>
      </c>
      <c r="AY50" s="13">
        <f>'2 полугодие'!AQ51+'по статьям 1 полугодие'!AQ51</f>
        <v>4818.034841649579</v>
      </c>
      <c r="AZ50" s="13">
        <f>'2 полугодие'!AR51+'по статьям 1 полугодие'!AR51</f>
        <v>2539.234641148326</v>
      </c>
      <c r="BA50" s="22" t="e">
        <f t="shared" si="24"/>
        <v>#REF!</v>
      </c>
      <c r="BB50" s="15">
        <f>'2 полугодие'!AT51+'по статьям 1 полугодие'!AT51</f>
        <v>24415.742857142857</v>
      </c>
      <c r="BC50" s="15" t="e">
        <f t="shared" si="25"/>
        <v>#REF!</v>
      </c>
      <c r="BD50" s="9" t="s">
        <v>45</v>
      </c>
    </row>
    <row r="51" spans="1:56" ht="15">
      <c r="A51" s="26">
        <v>43</v>
      </c>
      <c r="B51" s="9" t="s">
        <v>46</v>
      </c>
      <c r="C51" s="11">
        <v>448.7</v>
      </c>
      <c r="D51" s="87" t="e">
        <f t="shared" si="13"/>
        <v>#REF!</v>
      </c>
      <c r="E51" s="87">
        <f>('2 полугодие'!E84+'по статьям 1 полугодие'!E52)/2</f>
        <v>0.15</v>
      </c>
      <c r="F51" s="87"/>
      <c r="G51" s="87">
        <v>2.85</v>
      </c>
      <c r="H51" s="87" t="e">
        <f t="shared" si="14"/>
        <v>#REF!</v>
      </c>
      <c r="I51" s="87">
        <v>0.26</v>
      </c>
      <c r="J51" s="87">
        <v>1.03</v>
      </c>
      <c r="K51" s="87">
        <v>0.78</v>
      </c>
      <c r="L51" s="87">
        <v>0.58</v>
      </c>
      <c r="M51" s="87">
        <v>0.39</v>
      </c>
      <c r="N51" s="109">
        <v>11.92</v>
      </c>
      <c r="O51" s="5">
        <v>3.56</v>
      </c>
      <c r="P51" s="196">
        <f t="shared" si="15"/>
        <v>15.48</v>
      </c>
      <c r="Q51" s="13" t="e">
        <f t="shared" si="16"/>
        <v>#REF!</v>
      </c>
      <c r="R51" s="13">
        <f>('2 полугодие'!P52+'по статьям 1 полугодие'!P52)</f>
        <v>1857.62</v>
      </c>
      <c r="S51" s="13">
        <f>'2 полугодие'!Q52+'по статьям 1 полугодие'!Q52</f>
        <v>0</v>
      </c>
      <c r="T51" s="13">
        <f>'2 полугодие'!R52+'по статьям 1 полугодие'!R52</f>
        <v>21914.66771610845</v>
      </c>
      <c r="U51" s="13" t="e">
        <f t="shared" si="17"/>
        <v>#REF!</v>
      </c>
      <c r="V51" s="13" t="e">
        <f>'2 полугодие'!#REF!+'по статьям 1 полугодие'!#REF!</f>
        <v>#REF!</v>
      </c>
      <c r="W51" s="13">
        <f>'2 полугодие'!S52+'по статьям 1 полугодие'!S52</f>
        <v>6849.8025071770335</v>
      </c>
      <c r="X51" s="13">
        <f>'2 полугодие'!T52+'по статьям 1 полугодие'!T52</f>
        <v>4947.079588516746</v>
      </c>
      <c r="Y51" s="13">
        <f>'2 полугодие'!U52+'по статьям 1 полугодие'!U52</f>
        <v>4568.8419346092505</v>
      </c>
      <c r="Z51" s="13">
        <f>'2 полугодие'!V52+'по статьям 1 полугодие'!V52</f>
        <v>2473.539794258373</v>
      </c>
      <c r="AA51" s="13">
        <f>'2 полугодие'!W52+'по статьям 1 полугодие'!W52</f>
        <v>80852.996</v>
      </c>
      <c r="AB51" s="15">
        <f>'2 полугодие'!X52+'по статьям 1 полугодие'!X52</f>
        <v>23705.129999999997</v>
      </c>
      <c r="AC51" s="15">
        <f t="shared" si="18"/>
        <v>104558.12599999999</v>
      </c>
      <c r="AD51" s="13" t="e">
        <f t="shared" si="19"/>
        <v>#REF!</v>
      </c>
      <c r="AE51" s="13">
        <f t="shared" si="20"/>
        <v>1857.62</v>
      </c>
      <c r="AF51" s="13">
        <f>'2 полугодие'!AB52+'по статьям 1 полугодие'!AB52</f>
        <v>0</v>
      </c>
      <c r="AG51" s="13">
        <f>'2 полугодие'!AC52+'по статьям 1 полугодие'!AC52</f>
        <v>16574.760245170943</v>
      </c>
      <c r="AH51" s="13" t="e">
        <f t="shared" si="21"/>
        <v>#REF!</v>
      </c>
      <c r="AI51" s="13" t="e">
        <f>'2 полугодие'!#REF!+'по статьям 1 полугодие'!#REF!</f>
        <v>#REF!</v>
      </c>
      <c r="AJ51" s="13">
        <f>'2 полугодие'!AD52+'по статьям 1 полугодие'!AD52</f>
        <v>5137.0522057673315</v>
      </c>
      <c r="AK51" s="13">
        <f>'2 полугодие'!AE52+'по статьям 1 полугодие'!AE52</f>
        <v>3710.0932597208507</v>
      </c>
      <c r="AL51" s="13">
        <f>'2 полугодие'!AF52+'по статьям 1 полугодие'!AF52</f>
        <v>3505.4027298186866</v>
      </c>
      <c r="AM51" s="13">
        <f>'2 полугодие'!AG52+'по статьям 1 полугодие'!AG52</f>
        <v>1855.0466298604254</v>
      </c>
      <c r="AN51" s="16">
        <f>'2 полугодие'!AH52+'по статьям 1 полугодие'!AH52</f>
        <v>60785.04000000001</v>
      </c>
      <c r="AO51" s="4">
        <f>'2 полугодие'!AI52+'по статьям 1 полугодие'!AI52</f>
        <v>19192.73</v>
      </c>
      <c r="AP51" s="15">
        <f t="shared" si="22"/>
        <v>79977.77</v>
      </c>
      <c r="AQ51" s="13">
        <f>'2 полугодие'!AK52+'по статьям 1 полугодие'!AK52</f>
        <v>0</v>
      </c>
      <c r="AR51" s="13">
        <f t="shared" si="23"/>
        <v>1857.62</v>
      </c>
      <c r="AS51" s="13">
        <f>'2 полугодие'!AM52+'по статьям 1 полугодие'!AM52</f>
        <v>0</v>
      </c>
      <c r="AT51" s="13">
        <f>'2 полугодие'!AN52+'по статьям 1 полугодие'!AN52</f>
        <v>20871.11211057948</v>
      </c>
      <c r="AU51" s="13" t="e">
        <f>'2 полугодие'!#REF!+'по статьям 1 полугодие'!#REF!</f>
        <v>#REF!</v>
      </c>
      <c r="AV51" s="13" t="e">
        <f>'2 полугодие'!#REF!+'по статьям 1 полугодие'!#REF!</f>
        <v>#REF!</v>
      </c>
      <c r="AW51" s="13">
        <f>'2 полугодие'!AO52+'по статьям 1 полугодие'!AO52</f>
        <v>6523.621435406699</v>
      </c>
      <c r="AX51" s="13">
        <f>'2 полугодие'!AP52+'по статьям 1 полугодие'!AP52</f>
        <v>4711.504370015949</v>
      </c>
      <c r="AY51" s="13">
        <f>'2 полугодие'!AQ52+'по статьям 1 полугодие'!AQ52</f>
        <v>4351.278032961191</v>
      </c>
      <c r="AZ51" s="13">
        <f>'2 полугодие'!AR52+'по статьям 1 полугодие'!AR52</f>
        <v>2355.7521850079743</v>
      </c>
      <c r="BA51" s="22" t="e">
        <f t="shared" si="24"/>
        <v>#REF!</v>
      </c>
      <c r="BB51" s="15">
        <f>'2 полугодие'!AT52+'по статьям 1 полугодие'!AT52</f>
        <v>22576.314285714285</v>
      </c>
      <c r="BC51" s="15" t="e">
        <f t="shared" si="25"/>
        <v>#REF!</v>
      </c>
      <c r="BD51" s="9" t="s">
        <v>46</v>
      </c>
    </row>
    <row r="52" spans="1:56" ht="15">
      <c r="A52" s="26">
        <v>44</v>
      </c>
      <c r="B52" s="9" t="s">
        <v>47</v>
      </c>
      <c r="C52" s="11">
        <v>1082.01</v>
      </c>
      <c r="D52" s="87" t="e">
        <f t="shared" si="13"/>
        <v>#REF!</v>
      </c>
      <c r="E52" s="87">
        <f>('2 полугодие'!E85+'по статьям 1 полугодие'!E53)/2</f>
        <v>0.1500001540343127</v>
      </c>
      <c r="F52" s="87"/>
      <c r="G52" s="87">
        <v>2.85</v>
      </c>
      <c r="H52" s="87" t="e">
        <f t="shared" si="14"/>
        <v>#REF!</v>
      </c>
      <c r="I52" s="87">
        <v>0.26</v>
      </c>
      <c r="J52" s="87">
        <v>1.03</v>
      </c>
      <c r="K52" s="87">
        <v>0.78</v>
      </c>
      <c r="L52" s="87">
        <v>0.58</v>
      </c>
      <c r="M52" s="87">
        <v>0.39</v>
      </c>
      <c r="N52" s="109">
        <v>11.92</v>
      </c>
      <c r="O52" s="5">
        <v>3.56</v>
      </c>
      <c r="P52" s="196">
        <f t="shared" si="15"/>
        <v>15.48</v>
      </c>
      <c r="Q52" s="13" t="e">
        <f t="shared" si="16"/>
        <v>#REF!</v>
      </c>
      <c r="R52" s="13">
        <f>('2 полугодие'!P53+'по статьям 1 полугодие'!P53)</f>
        <v>4479.52</v>
      </c>
      <c r="S52" s="13">
        <f>'2 полугодие'!Q53+'по статьям 1 полугодие'!Q53</f>
        <v>0</v>
      </c>
      <c r="T52" s="13">
        <f>'2 полугодие'!R53+'по статьям 1 полугодие'!R53</f>
        <v>45314.94473110048</v>
      </c>
      <c r="U52" s="13" t="e">
        <f t="shared" si="17"/>
        <v>#REF!</v>
      </c>
      <c r="V52" s="13" t="e">
        <f>'2 полугодие'!#REF!+'по статьям 1 полугодие'!#REF!</f>
        <v>#REF!</v>
      </c>
      <c r="W52" s="13">
        <f>'2 полугодие'!S53+'по статьям 1 полугодие'!S53</f>
        <v>14022.970828708134</v>
      </c>
      <c r="X52" s="13">
        <f>'2 полугодие'!T53+'по статьям 1 полугодие'!T53</f>
        <v>10127.701154066985</v>
      </c>
      <c r="Y52" s="13">
        <f>'2 полугодие'!U53+'по статьям 1 полугодие'!U53</f>
        <v>9608.317271770335</v>
      </c>
      <c r="Z52" s="13">
        <f>'2 полугодие'!V53+'по статьям 1 полугодие'!V53</f>
        <v>5063.850577033492</v>
      </c>
      <c r="AA52" s="13">
        <f>'2 полугодие'!W53+'по статьям 1 полугодие'!W53</f>
        <v>166003.3818</v>
      </c>
      <c r="AB52" s="15">
        <f>'2 полугодие'!X53+'по статьям 1 полугодие'!X53</f>
        <v>48691.244999999995</v>
      </c>
      <c r="AC52" s="15">
        <f t="shared" si="18"/>
        <v>214694.6268</v>
      </c>
      <c r="AD52" s="13" t="e">
        <f t="shared" si="19"/>
        <v>#REF!</v>
      </c>
      <c r="AE52" s="13">
        <f t="shared" si="20"/>
        <v>4479.52</v>
      </c>
      <c r="AF52" s="13">
        <f>'2 полугодие'!AB53+'по статьям 1 полугодие'!AB53</f>
        <v>0</v>
      </c>
      <c r="AG52" s="13">
        <f>'2 полугодие'!AC53+'по статьям 1 полугодие'!AC53</f>
        <v>45661.32108929094</v>
      </c>
      <c r="AH52" s="13" t="e">
        <f t="shared" si="21"/>
        <v>#REF!</v>
      </c>
      <c r="AI52" s="13" t="e">
        <f>'2 полугодие'!#REF!+'по статьям 1 полугодие'!#REF!</f>
        <v>#REF!</v>
      </c>
      <c r="AJ52" s="13">
        <f>'2 полугодие'!AD53+'по статьям 1 полугодие'!AD53</f>
        <v>14110.304133192818</v>
      </c>
      <c r="AK52" s="13">
        <f>'2 полугодие'!AE53+'по статьям 1 полугодие'!AE53</f>
        <v>10190.775207305924</v>
      </c>
      <c r="AL52" s="13">
        <f>'2 полугодие'!AF53+'по статьям 1 полугодие'!AF53</f>
        <v>9704.42133323786</v>
      </c>
      <c r="AM52" s="13">
        <f>'2 полугодие'!AG53+'по статьям 1 полугодие'!AG53</f>
        <v>5095.387603652962</v>
      </c>
      <c r="AN52" s="16">
        <f>'2 полугодие'!AH53+'по статьям 1 полугодие'!AH53</f>
        <v>167105.575</v>
      </c>
      <c r="AO52" s="4">
        <f>'2 полугодие'!AI53+'по статьям 1 полугодие'!AI53</f>
        <v>46480.075</v>
      </c>
      <c r="AP52" s="15">
        <f t="shared" si="22"/>
        <v>213585.65000000002</v>
      </c>
      <c r="AQ52" s="13">
        <f>'2 полугодие'!AK53+'по статьям 1 полугодие'!AK53</f>
        <v>7988.1</v>
      </c>
      <c r="AR52" s="13">
        <f t="shared" si="23"/>
        <v>4479.52</v>
      </c>
      <c r="AS52" s="13">
        <f>'2 полугодие'!AM53+'по статьям 1 полугодие'!AM53</f>
        <v>0</v>
      </c>
      <c r="AT52" s="13">
        <f>'2 полугодие'!AN53+'по статьям 1 полугодие'!AN53</f>
        <v>43157.09022009569</v>
      </c>
      <c r="AU52" s="13" t="e">
        <f>'2 полугодие'!#REF!+'по статьям 1 полугодие'!#REF!</f>
        <v>#REF!</v>
      </c>
      <c r="AV52" s="13" t="e">
        <f>'2 полугодие'!#REF!+'по статьям 1 полугодие'!#REF!</f>
        <v>#REF!</v>
      </c>
      <c r="AW52" s="13">
        <f>'2 полугодие'!AO53+'по статьям 1 полугодие'!AO53</f>
        <v>13355.210313055366</v>
      </c>
      <c r="AX52" s="13">
        <f>'2 полугодие'!AP53+'по статьям 1 полугодие'!AP53</f>
        <v>9645.429670539987</v>
      </c>
      <c r="AY52" s="13">
        <f>'2 полугодие'!AQ53+'по статьям 1 полугодие'!AQ53</f>
        <v>9150.778354066984</v>
      </c>
      <c r="AZ52" s="13">
        <f>'2 полугодие'!AR53+'по статьям 1 полугодие'!AR53</f>
        <v>4822.714835269993</v>
      </c>
      <c r="BA52" s="22" t="e">
        <f t="shared" si="24"/>
        <v>#REF!</v>
      </c>
      <c r="BB52" s="15">
        <f>'2 полугодие'!AT53+'по статьям 1 полугодие'!AT53</f>
        <v>46372.614285714284</v>
      </c>
      <c r="BC52" s="15" t="e">
        <f t="shared" si="25"/>
        <v>#REF!</v>
      </c>
      <c r="BD52" s="9" t="s">
        <v>47</v>
      </c>
    </row>
    <row r="53" spans="1:56" ht="15">
      <c r="A53" s="26">
        <v>45</v>
      </c>
      <c r="B53" s="9" t="s">
        <v>48</v>
      </c>
      <c r="C53" s="11">
        <v>723.17</v>
      </c>
      <c r="D53" s="87" t="e">
        <f t="shared" si="13"/>
        <v>#REF!</v>
      </c>
      <c r="E53" s="87">
        <f>('2 полугодие'!E86+'по статьям 1 полугодие'!E54)/2</f>
        <v>0.15000046036064651</v>
      </c>
      <c r="F53" s="87"/>
      <c r="G53" s="87">
        <v>2.85</v>
      </c>
      <c r="H53" s="87" t="e">
        <f t="shared" si="14"/>
        <v>#REF!</v>
      </c>
      <c r="I53" s="87">
        <v>0.26</v>
      </c>
      <c r="J53" s="87">
        <v>1.03</v>
      </c>
      <c r="K53" s="87">
        <v>0.78</v>
      </c>
      <c r="L53" s="87">
        <v>0.58</v>
      </c>
      <c r="M53" s="87">
        <v>0.39</v>
      </c>
      <c r="N53" s="109">
        <v>11.92</v>
      </c>
      <c r="O53" s="5">
        <v>3.56</v>
      </c>
      <c r="P53" s="196">
        <f t="shared" si="15"/>
        <v>15.48</v>
      </c>
      <c r="Q53" s="13" t="e">
        <f t="shared" si="16"/>
        <v>#REF!</v>
      </c>
      <c r="R53" s="13">
        <f>('2 полугодие'!P54+'по статьям 1 полугодие'!P54)</f>
        <v>2997.6499999999996</v>
      </c>
      <c r="S53" s="13">
        <f>'2 полугодие'!Q54+'по статьям 1 полугодие'!Q54</f>
        <v>0</v>
      </c>
      <c r="T53" s="13">
        <f>'2 полугодие'!R54+'по статьям 1 полугодие'!R54</f>
        <v>30286.3567923445</v>
      </c>
      <c r="U53" s="13" t="e">
        <f t="shared" si="17"/>
        <v>#REF!</v>
      </c>
      <c r="V53" s="13" t="e">
        <f>'2 полугодие'!#REF!+'по статьям 1 полугодие'!#REF!</f>
        <v>#REF!</v>
      </c>
      <c r="W53" s="13">
        <f>'2 полугодие'!S54+'по статьям 1 полугодие'!S54</f>
        <v>9372.28226985646</v>
      </c>
      <c r="X53" s="13">
        <f>'2 полугодие'!T54+'по статьям 1 полугодие'!T54</f>
        <v>6768.870528229665</v>
      </c>
      <c r="Y53" s="13">
        <f>'2 полугодие'!U54+'по статьям 1 полугодие'!U54</f>
        <v>6421.749074641148</v>
      </c>
      <c r="Z53" s="13">
        <f>'2 полугодие'!V54+'по статьям 1 полугодие'!V54</f>
        <v>3384.4352641148325</v>
      </c>
      <c r="AA53" s="13">
        <f>'2 полугодие'!W54+'по статьям 1 полугодие'!W54</f>
        <v>110948.73060000001</v>
      </c>
      <c r="AB53" s="15">
        <f>'2 полугодие'!X54+'по статьям 1 полугодие'!X54</f>
        <v>32542.845</v>
      </c>
      <c r="AC53" s="15">
        <f t="shared" si="18"/>
        <v>143491.5756</v>
      </c>
      <c r="AD53" s="13" t="e">
        <f t="shared" si="19"/>
        <v>#REF!</v>
      </c>
      <c r="AE53" s="13">
        <f t="shared" si="20"/>
        <v>2997.6499999999996</v>
      </c>
      <c r="AF53" s="13">
        <f>'2 полугодие'!AB54+'по статьям 1 полугодие'!AB54</f>
        <v>0</v>
      </c>
      <c r="AG53" s="13">
        <f>'2 полугодие'!AC54+'по статьям 1 полугодие'!AC54</f>
        <v>28328.244237515926</v>
      </c>
      <c r="AH53" s="13" t="e">
        <f t="shared" si="21"/>
        <v>#REF!</v>
      </c>
      <c r="AI53" s="13" t="e">
        <f>'2 полугодие'!#REF!+'по статьям 1 полугодие'!#REF!</f>
        <v>#REF!</v>
      </c>
      <c r="AJ53" s="13">
        <f>'2 полугодие'!AD54+'по статьям 1 полугодие'!AD54</f>
        <v>8780.314869697093</v>
      </c>
      <c r="AK53" s="13">
        <f>'2 полугодие'!AE54+'по статьям 1 полугодие'!AE54</f>
        <v>6341.338517003454</v>
      </c>
      <c r="AL53" s="13">
        <f>'2 полугодие'!AF54+'по статьям 1 полугодие'!AF54</f>
        <v>5990.604772093842</v>
      </c>
      <c r="AM53" s="13">
        <f>'2 полугодие'!AG54+'по статьям 1 полугодие'!AG54</f>
        <v>3170.669258501727</v>
      </c>
      <c r="AN53" s="16">
        <f>'2 полугодие'!AH54+'по статьям 1 полугодие'!AH54</f>
        <v>103892.91500000001</v>
      </c>
      <c r="AO53" s="4">
        <f>'2 полугодие'!AI54+'по статьям 1 полугодие'!AI54</f>
        <v>30274.045</v>
      </c>
      <c r="AP53" s="15">
        <f t="shared" si="22"/>
        <v>134166.96000000002</v>
      </c>
      <c r="AQ53" s="13">
        <f>'2 полугодие'!AK54+'по статьям 1 полугодие'!AK54</f>
        <v>331424.8</v>
      </c>
      <c r="AR53" s="13">
        <f t="shared" si="23"/>
        <v>2997.6499999999996</v>
      </c>
      <c r="AS53" s="13">
        <f>'2 полугодие'!AM54+'по статьям 1 полугодие'!AM54</f>
        <v>0</v>
      </c>
      <c r="AT53" s="13">
        <f>'2 полугодие'!AN54+'по статьям 1 полугодие'!AN54</f>
        <v>28844.149326042378</v>
      </c>
      <c r="AU53" s="13" t="e">
        <f>'2 полугодие'!#REF!+'по статьям 1 полугодие'!#REF!</f>
        <v>#REF!</v>
      </c>
      <c r="AV53" s="13" t="e">
        <f>'2 полугодие'!#REF!+'по статьям 1 полугодие'!#REF!</f>
        <v>#REF!</v>
      </c>
      <c r="AW53" s="13">
        <f>'2 полугодие'!AO54+'по статьям 1 полугодие'!AO54</f>
        <v>8925.98311414901</v>
      </c>
      <c r="AX53" s="13">
        <f>'2 полугодие'!AP54+'по статьям 1 полугодие'!AP54</f>
        <v>6446.543360218729</v>
      </c>
      <c r="AY53" s="13">
        <f>'2 полугодие'!AQ54+'по статьям 1 полугодие'!AQ54</f>
        <v>6115.951499658237</v>
      </c>
      <c r="AZ53" s="13">
        <f>'2 полугодие'!AR54+'по статьям 1 полугодие'!AR54</f>
        <v>3223.2716801093643</v>
      </c>
      <c r="BA53" s="22" t="e">
        <f t="shared" si="24"/>
        <v>#REF!</v>
      </c>
      <c r="BB53" s="15">
        <f>'2 полугодие'!AT54+'по статьям 1 полугодие'!AT54</f>
        <v>30993.18571428571</v>
      </c>
      <c r="BC53" s="15" t="e">
        <f t="shared" si="25"/>
        <v>#REF!</v>
      </c>
      <c r="BD53" s="9" t="s">
        <v>48</v>
      </c>
    </row>
    <row r="54" spans="1:56" ht="15">
      <c r="A54" s="26">
        <v>46</v>
      </c>
      <c r="B54" s="9" t="s">
        <v>49</v>
      </c>
      <c r="C54" s="11">
        <v>778.2</v>
      </c>
      <c r="D54" s="87" t="e">
        <f t="shared" si="13"/>
        <v>#REF!</v>
      </c>
      <c r="E54" s="87">
        <f>('2 полугодие'!E87+'по статьям 1 полугодие'!E55)/2</f>
        <v>0.15</v>
      </c>
      <c r="F54" s="87"/>
      <c r="G54" s="87">
        <v>2.85</v>
      </c>
      <c r="H54" s="87" t="e">
        <f t="shared" si="14"/>
        <v>#REF!</v>
      </c>
      <c r="I54" s="87">
        <v>0.26</v>
      </c>
      <c r="J54" s="87">
        <v>1.03</v>
      </c>
      <c r="K54" s="87">
        <v>0.78</v>
      </c>
      <c r="L54" s="87">
        <v>0.58</v>
      </c>
      <c r="M54" s="87">
        <v>0.39</v>
      </c>
      <c r="N54" s="109">
        <v>11.92</v>
      </c>
      <c r="O54" s="5">
        <v>3.56</v>
      </c>
      <c r="P54" s="196">
        <f t="shared" si="15"/>
        <v>15.48</v>
      </c>
      <c r="Q54" s="13" t="e">
        <f t="shared" si="16"/>
        <v>#REF!</v>
      </c>
      <c r="R54" s="13">
        <f>('2 полугодие'!P55+'по статьям 1 полугодие'!P55)</f>
        <v>3221.75</v>
      </c>
      <c r="S54" s="13">
        <f>'2 полугодие'!Q55+'по статьям 1 полугодие'!Q55</f>
        <v>0</v>
      </c>
      <c r="T54" s="13">
        <f>'2 полугодие'!R55+'по статьям 1 полугодие'!R55</f>
        <v>32591.019119617224</v>
      </c>
      <c r="U54" s="13" t="e">
        <f t="shared" si="17"/>
        <v>#REF!</v>
      </c>
      <c r="V54" s="13" t="e">
        <f>'2 полугодие'!#REF!+'по статьям 1 полугодие'!#REF!</f>
        <v>#REF!</v>
      </c>
      <c r="W54" s="13">
        <f>'2 полугодие'!S55+'по статьям 1 полугодие'!S55</f>
        <v>10085.473033492824</v>
      </c>
      <c r="X54" s="13">
        <f>'2 полугодие'!T55+'по статьям 1 полугодие'!T55</f>
        <v>7283.9527464114835</v>
      </c>
      <c r="Y54" s="13">
        <f>'2 полугодие'!U55+'по статьям 1 полугодие'!U55</f>
        <v>6910.416583732058</v>
      </c>
      <c r="Z54" s="13">
        <f>'2 полугодие'!V55+'по статьям 1 полугодие'!V55</f>
        <v>3641.9763732057418</v>
      </c>
      <c r="AA54" s="13">
        <f>'2 полугодие'!W55+'по статьям 1 полугодие'!W55</f>
        <v>119391.456</v>
      </c>
      <c r="AB54" s="15">
        <f>'2 полугодие'!X55+'по статьям 1 полугодие'!X55</f>
        <v>35019.240000000005</v>
      </c>
      <c r="AC54" s="15">
        <f t="shared" si="18"/>
        <v>154410.696</v>
      </c>
      <c r="AD54" s="13" t="e">
        <f t="shared" si="19"/>
        <v>#REF!</v>
      </c>
      <c r="AE54" s="13">
        <f t="shared" si="20"/>
        <v>3221.75</v>
      </c>
      <c r="AF54" s="13">
        <f>'2 полугодие'!AB55+'по статьям 1 полугодие'!AB55</f>
        <v>0</v>
      </c>
      <c r="AG54" s="13">
        <f>'2 полугодие'!AC55+'по статьям 1 полугодие'!AC55</f>
        <v>29221.650512068212</v>
      </c>
      <c r="AH54" s="13" t="e">
        <f t="shared" si="21"/>
        <v>#REF!</v>
      </c>
      <c r="AI54" s="13" t="e">
        <f>'2 полугодие'!#REF!+'по статьям 1 полугодие'!#REF!</f>
        <v>#REF!</v>
      </c>
      <c r="AJ54" s="13">
        <f>'2 полугодие'!AD55+'по статьям 1 полугодие'!AD55</f>
        <v>9040.871414292378</v>
      </c>
      <c r="AK54" s="13">
        <f>'2 полугодие'!AE55+'по статьям 1 полугодие'!AE55</f>
        <v>6529.518243655606</v>
      </c>
      <c r="AL54" s="13">
        <f>'2 полугодие'!AF55+'по статьям 1 полугодие'!AF55</f>
        <v>6198.199218770082</v>
      </c>
      <c r="AM54" s="13">
        <f>'2 полугодие'!AG55+'по статьям 1 полугодие'!AG55</f>
        <v>3264.759121827803</v>
      </c>
      <c r="AN54" s="16">
        <f>'2 полугодие'!AH55+'по статьям 1 полугодие'!AH55</f>
        <v>107032.15</v>
      </c>
      <c r="AO54" s="4">
        <f>'2 полугодие'!AI55+'по статьям 1 полугодие'!AI55</f>
        <v>32708.97</v>
      </c>
      <c r="AP54" s="15">
        <f t="shared" si="22"/>
        <v>139741.12</v>
      </c>
      <c r="AQ54" s="13">
        <f>'2 полугодие'!AK55+'по статьям 1 полугодие'!AK55</f>
        <v>14871.5</v>
      </c>
      <c r="AR54" s="13">
        <f t="shared" si="23"/>
        <v>3221.75</v>
      </c>
      <c r="AS54" s="13">
        <f>'2 полугодие'!AM55+'по статьям 1 полугодие'!AM55</f>
        <v>0</v>
      </c>
      <c r="AT54" s="13">
        <f>'2 полугодие'!AN55+'по статьям 1 полугодие'!AN55</f>
        <v>31039.06582820688</v>
      </c>
      <c r="AU54" s="13" t="e">
        <f>'2 полугодие'!#REF!+'по статьям 1 полугодие'!#REF!</f>
        <v>#REF!</v>
      </c>
      <c r="AV54" s="13" t="e">
        <f>'2 полугодие'!#REF!+'по статьям 1 полугодие'!#REF!</f>
        <v>#REF!</v>
      </c>
      <c r="AW54" s="13">
        <f>'2 полугодие'!AO55+'по статьям 1 полугодие'!AO55</f>
        <v>9605.21241285031</v>
      </c>
      <c r="AX54" s="13">
        <f>'2 полугодие'!AP55+'по статьям 1 полугодие'!AP55</f>
        <v>6937.097853725223</v>
      </c>
      <c r="AY54" s="13">
        <f>'2 полугодие'!AQ55+'по статьям 1 полугодие'!AQ55</f>
        <v>6581.349127363864</v>
      </c>
      <c r="AZ54" s="13">
        <f>'2 полугодие'!AR55+'по статьям 1 полугодие'!AR55</f>
        <v>3468.5489268626116</v>
      </c>
      <c r="BA54" s="22" t="e">
        <f t="shared" si="24"/>
        <v>#REF!</v>
      </c>
      <c r="BB54" s="15">
        <f>'2 полугодие'!AT55+'по статьям 1 полугодие'!AT55</f>
        <v>33351.65714285715</v>
      </c>
      <c r="BC54" s="15" t="e">
        <f t="shared" si="25"/>
        <v>#REF!</v>
      </c>
      <c r="BD54" s="9" t="s">
        <v>49</v>
      </c>
    </row>
    <row r="55" spans="1:56" ht="15">
      <c r="A55" s="26">
        <v>47</v>
      </c>
      <c r="B55" s="9" t="s">
        <v>50</v>
      </c>
      <c r="C55" s="11">
        <v>427.81</v>
      </c>
      <c r="D55" s="87" t="e">
        <f t="shared" si="13"/>
        <v>#REF!</v>
      </c>
      <c r="E55" s="87">
        <f>('2 полугодие'!E88+'по статьям 1 полугодие'!E56)/2</f>
        <v>0.17948777884263264</v>
      </c>
      <c r="F55" s="87"/>
      <c r="G55" s="87">
        <v>2.85</v>
      </c>
      <c r="H55" s="87" t="e">
        <f t="shared" si="14"/>
        <v>#REF!</v>
      </c>
      <c r="I55" s="87">
        <v>0.26</v>
      </c>
      <c r="J55" s="87">
        <v>1.03</v>
      </c>
      <c r="K55" s="87">
        <v>0.78</v>
      </c>
      <c r="L55" s="87">
        <v>0.58</v>
      </c>
      <c r="M55" s="87">
        <v>0.39</v>
      </c>
      <c r="N55" s="109">
        <v>11.92</v>
      </c>
      <c r="O55" s="5">
        <v>3.56</v>
      </c>
      <c r="P55" s="196">
        <f t="shared" si="15"/>
        <v>15.48</v>
      </c>
      <c r="Q55" s="13" t="e">
        <f t="shared" si="16"/>
        <v>#REF!</v>
      </c>
      <c r="R55" s="13">
        <f>('2 полугодие'!P56+'по статьям 1 полугодие'!P56)</f>
        <v>3537.67</v>
      </c>
      <c r="S55" s="13">
        <f>'2 полугодие'!Q56+'по статьям 1 полугодие'!Q56</f>
        <v>0</v>
      </c>
      <c r="T55" s="13">
        <f>'2 полугодие'!R56+'по статьям 1 полугодие'!R56</f>
        <v>17233.14492567783</v>
      </c>
      <c r="U55" s="13" t="e">
        <f t="shared" si="17"/>
        <v>#REF!</v>
      </c>
      <c r="V55" s="13" t="e">
        <f>'2 полугодие'!#REF!+'по статьям 1 полугодие'!#REF!</f>
        <v>#REF!</v>
      </c>
      <c r="W55" s="13">
        <f>'2 полугодие'!S56+'по статьям 1 полугодие'!S56</f>
        <v>5317.96946985646</v>
      </c>
      <c r="X55" s="13">
        <f>'2 полугодие'!T56+'по статьям 1 полугодие'!T56</f>
        <v>3840.7557282296652</v>
      </c>
      <c r="Y55" s="13">
        <f>'2 полугодие'!U56+'по статьям 1 полугодие'!U56</f>
        <v>3671.0515413078147</v>
      </c>
      <c r="Z55" s="13">
        <f>'2 полугодие'!V56+'по статьям 1 полугодие'!V56</f>
        <v>1920.3778641148326</v>
      </c>
      <c r="AA55" s="13">
        <f>'2 полугодие'!W56+'по статьям 1 полугодие'!W56</f>
        <v>63005.2958</v>
      </c>
      <c r="AB55" s="15">
        <f>'2 полугодие'!X56+'по статьям 1 полугодие'!X56</f>
        <v>16346.814999999999</v>
      </c>
      <c r="AC55" s="15">
        <f t="shared" si="18"/>
        <v>79352.1108</v>
      </c>
      <c r="AD55" s="13" t="e">
        <f t="shared" si="19"/>
        <v>#REF!</v>
      </c>
      <c r="AE55" s="13">
        <f t="shared" si="20"/>
        <v>3537.67</v>
      </c>
      <c r="AF55" s="13">
        <f>'2 полугодие'!AB56+'по статьям 1 полугодие'!AB56</f>
        <v>0</v>
      </c>
      <c r="AG55" s="13">
        <f>'2 полугодие'!AC56+'по статьям 1 полугодие'!AC56</f>
        <v>23811.001226013825</v>
      </c>
      <c r="AH55" s="13" t="e">
        <f t="shared" si="21"/>
        <v>#REF!</v>
      </c>
      <c r="AI55" s="13" t="e">
        <f>'2 полугодие'!#REF!+'по статьям 1 полугодие'!#REF!</f>
        <v>#REF!</v>
      </c>
      <c r="AJ55" s="13">
        <f>'2 полугодие'!AD56+'по статьям 1 полугодие'!AD56</f>
        <v>7181.589102659671</v>
      </c>
      <c r="AK55" s="13">
        <f>'2 полугодие'!AE56+'по статьям 1 полугодие'!AE56</f>
        <v>5186.703240809762</v>
      </c>
      <c r="AL55" s="13">
        <f>'2 полугодие'!AF56+'по статьям 1 полугодие'!AF56</f>
        <v>5262.013130146233</v>
      </c>
      <c r="AM55" s="13">
        <f>'2 полугодие'!AG56+'по статьям 1 полугодие'!AG56</f>
        <v>2593.351620404881</v>
      </c>
      <c r="AN55" s="16">
        <f>'2 полугодие'!AH56+'по статьям 1 полугодие'!AH56</f>
        <v>85658.595</v>
      </c>
      <c r="AO55" s="4">
        <f>'2 полугодие'!AI56+'по статьям 1 полугодие'!AI56</f>
        <v>15904.285</v>
      </c>
      <c r="AP55" s="15">
        <f t="shared" si="22"/>
        <v>101562.88</v>
      </c>
      <c r="AQ55" s="13">
        <f>'2 полугодие'!AK56+'по статьям 1 полугодие'!AK56</f>
        <v>5761</v>
      </c>
      <c r="AR55" s="13">
        <f t="shared" si="23"/>
        <v>3537.67</v>
      </c>
      <c r="AS55" s="13">
        <f>'2 полугодие'!AM56+'по статьям 1 полугодие'!AM56</f>
        <v>0</v>
      </c>
      <c r="AT55" s="13">
        <f>'2 полугодие'!AN56+'по статьям 1 полугодие'!AN56</f>
        <v>16412.51897683603</v>
      </c>
      <c r="AU55" s="13" t="e">
        <f>'2 полугодие'!#REF!+'по статьям 1 полугодие'!#REF!</f>
        <v>#REF!</v>
      </c>
      <c r="AV55" s="13" t="e">
        <f>'2 полугодие'!#REF!+'по статьям 1 полугодие'!#REF!</f>
        <v>#REF!</v>
      </c>
      <c r="AW55" s="13">
        <f>'2 полугодие'!AO56+'по статьям 1 полугодие'!AO56</f>
        <v>5064.732828434723</v>
      </c>
      <c r="AX55" s="13">
        <f>'2 полугодие'!AP56+'по статьям 1 полугодие'!AP56</f>
        <v>3657.862598313967</v>
      </c>
      <c r="AY55" s="13">
        <f>'2 полугодие'!AQ56+'по статьям 1 полугодие'!AQ56</f>
        <v>3496.2395631502995</v>
      </c>
      <c r="AZ55" s="13">
        <f>'2 полугодие'!AR56+'по статьям 1 полугодие'!AR56</f>
        <v>1828.9312991569834</v>
      </c>
      <c r="BA55" s="22" t="e">
        <f t="shared" si="24"/>
        <v>#REF!</v>
      </c>
      <c r="BB55" s="15">
        <f>'2 полугодие'!AT56+'по статьям 1 полугодие'!AT56</f>
        <v>15568.395238095236</v>
      </c>
      <c r="BC55" s="15" t="e">
        <f t="shared" si="25"/>
        <v>#REF!</v>
      </c>
      <c r="BD55" s="9" t="s">
        <v>50</v>
      </c>
    </row>
    <row r="56" spans="1:56" ht="15">
      <c r="A56" s="26">
        <v>48</v>
      </c>
      <c r="B56" s="9" t="s">
        <v>51</v>
      </c>
      <c r="C56" s="11">
        <v>569.5</v>
      </c>
      <c r="D56" s="87" t="e">
        <f t="shared" si="13"/>
        <v>#REF!</v>
      </c>
      <c r="E56" s="87">
        <f>('2 полугодие'!E89+'по статьям 1 полугодие'!E57)/2</f>
        <v>0.15</v>
      </c>
      <c r="F56" s="87"/>
      <c r="G56" s="87">
        <v>2.85</v>
      </c>
      <c r="H56" s="87" t="e">
        <f t="shared" si="14"/>
        <v>#REF!</v>
      </c>
      <c r="I56" s="87">
        <v>0.26</v>
      </c>
      <c r="J56" s="87">
        <v>1.03</v>
      </c>
      <c r="K56" s="87">
        <v>0.78</v>
      </c>
      <c r="L56" s="87">
        <v>0.58</v>
      </c>
      <c r="M56" s="87">
        <v>0.39</v>
      </c>
      <c r="N56" s="109">
        <v>11.92</v>
      </c>
      <c r="O56" s="5">
        <v>3.56</v>
      </c>
      <c r="P56" s="196">
        <f t="shared" si="15"/>
        <v>15.48</v>
      </c>
      <c r="Q56" s="13" t="e">
        <f t="shared" si="16"/>
        <v>#REF!</v>
      </c>
      <c r="R56" s="13">
        <f>('2 полугодие'!P57+'по статьям 1 полугодие'!P57)</f>
        <v>2357.73</v>
      </c>
      <c r="S56" s="13">
        <f>'2 полугодие'!Q57+'по статьям 1 полугодие'!Q57</f>
        <v>0</v>
      </c>
      <c r="T56" s="13">
        <f>'2 полугодие'!R57+'по статьям 1 полугодие'!R57</f>
        <v>23842.658181818184</v>
      </c>
      <c r="U56" s="13" t="e">
        <f t="shared" si="17"/>
        <v>#REF!</v>
      </c>
      <c r="V56" s="13" t="e">
        <f>'2 полугодие'!#REF!+'по статьям 1 полугодие'!#REF!</f>
        <v>#REF!</v>
      </c>
      <c r="W56" s="13">
        <f>'2 полугодие'!S57+'по статьям 1 полугодие'!S57</f>
        <v>7378.069090909092</v>
      </c>
      <c r="X56" s="13">
        <f>'2 полугодие'!T57+'по статьям 1 полугодие'!T57</f>
        <v>5328.605454545455</v>
      </c>
      <c r="Y56" s="13">
        <f>'2 полугодие'!U57+'по статьям 1 полугодие'!U57</f>
        <v>5055.662727272727</v>
      </c>
      <c r="Z56" s="13">
        <f>'2 полугодие'!V57+'по статьям 1 полугодие'!V57</f>
        <v>2664.3027272727277</v>
      </c>
      <c r="AA56" s="13">
        <f>'2 полугодие'!W57+'по статьям 1 полугодие'!W57</f>
        <v>87341.91</v>
      </c>
      <c r="AB56" s="15">
        <f>'2 полугодие'!X57+'по статьям 1 полугодие'!X57</f>
        <v>25618.47</v>
      </c>
      <c r="AC56" s="15">
        <f t="shared" si="18"/>
        <v>112960.38</v>
      </c>
      <c r="AD56" s="13" t="e">
        <f t="shared" si="19"/>
        <v>#REF!</v>
      </c>
      <c r="AE56" s="13">
        <f t="shared" si="20"/>
        <v>2357.73</v>
      </c>
      <c r="AF56" s="13">
        <f>'2 полугодие'!AB57+'по статьям 1 полугодие'!AB57</f>
        <v>0</v>
      </c>
      <c r="AG56" s="13">
        <f>'2 полугодие'!AC57+'по статьям 1 полугодие'!AC57</f>
        <v>23997.860980965284</v>
      </c>
      <c r="AH56" s="13" t="e">
        <f t="shared" si="21"/>
        <v>#REF!</v>
      </c>
      <c r="AI56" s="13" t="e">
        <f>'2 полугодие'!#REF!+'по статьям 1 полугодие'!#REF!</f>
        <v>#REF!</v>
      </c>
      <c r="AJ56" s="13">
        <f>'2 полугодие'!AD57+'по статьям 1 полугодие'!AD57</f>
        <v>7401.935415217735</v>
      </c>
      <c r="AK56" s="13">
        <f>'2 полугодие'!AE57+'по статьям 1 полугодие'!AE57</f>
        <v>5345.84224432392</v>
      </c>
      <c r="AL56" s="13">
        <f>'2 полугодие'!AF57+'по статьям 1 полугодие'!AF57</f>
        <v>5116.147308829703</v>
      </c>
      <c r="AM56" s="13">
        <f>'2 полугодие'!AG57+'по статьям 1 полугодие'!AG57</f>
        <v>2672.92112216196</v>
      </c>
      <c r="AN56" s="16">
        <f>'2 полугодие'!AH57+'по статьям 1 полугодие'!AH57</f>
        <v>87707.61</v>
      </c>
      <c r="AO56" s="4">
        <f>'2 полугодие'!AI57+'по статьям 1 полугодие'!AI57</f>
        <v>24502.07</v>
      </c>
      <c r="AP56" s="15">
        <f t="shared" si="22"/>
        <v>112209.68</v>
      </c>
      <c r="AQ56" s="13">
        <f>'2 полугодие'!AK57+'по статьям 1 полугодие'!AK57</f>
        <v>9231.5</v>
      </c>
      <c r="AR56" s="13">
        <f t="shared" si="23"/>
        <v>2357.73</v>
      </c>
      <c r="AS56" s="13">
        <f>'2 полугодие'!AM57+'по статьям 1 полугодие'!AM57</f>
        <v>0</v>
      </c>
      <c r="AT56" s="13">
        <f>'2 полугодие'!AN57+'по статьям 1 полугодие'!AN57</f>
        <v>22707.293506493508</v>
      </c>
      <c r="AU56" s="13" t="e">
        <f>'2 полугодие'!#REF!+'по статьям 1 полугодие'!#REF!</f>
        <v>#REF!</v>
      </c>
      <c r="AV56" s="13" t="e">
        <f>'2 полугодие'!#REF!+'по статьям 1 полугодие'!#REF!</f>
        <v>#REF!</v>
      </c>
      <c r="AW56" s="13">
        <f>'2 полугодие'!AO57+'по статьям 1 полугодие'!AO57</f>
        <v>7026.732467532469</v>
      </c>
      <c r="AX56" s="13">
        <f>'2 полугодие'!AP57+'по статьям 1 полугодие'!AP57</f>
        <v>5074.862337662338</v>
      </c>
      <c r="AY56" s="13">
        <f>'2 полугодие'!AQ57+'по статьям 1 полугодие'!AQ57</f>
        <v>4814.916883116884</v>
      </c>
      <c r="AZ56" s="13">
        <f>'2 полугодие'!AR57+'по статьям 1 полугодие'!AR57</f>
        <v>2537.431168831169</v>
      </c>
      <c r="BA56" s="22" t="e">
        <f t="shared" si="24"/>
        <v>#REF!</v>
      </c>
      <c r="BB56" s="15">
        <f>'2 полугодие'!AT57+'по статьям 1 полугодие'!AT57</f>
        <v>24398.542857142857</v>
      </c>
      <c r="BC56" s="15" t="e">
        <f t="shared" si="25"/>
        <v>#REF!</v>
      </c>
      <c r="BD56" s="9" t="s">
        <v>51</v>
      </c>
    </row>
    <row r="57" spans="1:56" ht="15">
      <c r="A57" s="26">
        <v>49</v>
      </c>
      <c r="B57" s="9" t="s">
        <v>52</v>
      </c>
      <c r="C57" s="11">
        <v>594.16</v>
      </c>
      <c r="D57" s="87" t="e">
        <f t="shared" si="13"/>
        <v>#REF!</v>
      </c>
      <c r="E57" s="87">
        <f>('2 полугодие'!E90+'по статьям 1 полугодие'!E58)/2</f>
        <v>0.1500002805080562</v>
      </c>
      <c r="F57" s="87"/>
      <c r="G57" s="87">
        <v>2.85</v>
      </c>
      <c r="H57" s="87" t="e">
        <f t="shared" si="14"/>
        <v>#REF!</v>
      </c>
      <c r="I57" s="87">
        <v>0.26</v>
      </c>
      <c r="J57" s="87">
        <v>1.03</v>
      </c>
      <c r="K57" s="87">
        <v>0.78</v>
      </c>
      <c r="L57" s="87">
        <v>0.58</v>
      </c>
      <c r="M57" s="87">
        <v>0.39</v>
      </c>
      <c r="N57" s="109">
        <v>11.92</v>
      </c>
      <c r="O57" s="5">
        <v>3.56</v>
      </c>
      <c r="P57" s="196">
        <f t="shared" si="15"/>
        <v>15.48</v>
      </c>
      <c r="Q57" s="13" t="e">
        <f t="shared" si="16"/>
        <v>#REF!</v>
      </c>
      <c r="R57" s="13">
        <f>('2 полугодие'!P58+'по статьям 1 полугодие'!P58)</f>
        <v>2459.8199999999997</v>
      </c>
      <c r="S57" s="13">
        <f>'2 полугодие'!Q58+'по статьям 1 полугодие'!Q58</f>
        <v>0</v>
      </c>
      <c r="T57" s="13">
        <f>'2 полугодие'!R58+'по статьям 1 полугодие'!R58</f>
        <v>24884.289509409886</v>
      </c>
      <c r="U57" s="13" t="e">
        <f t="shared" si="17"/>
        <v>#REF!</v>
      </c>
      <c r="V57" s="13" t="e">
        <f>'2 полугодие'!#REF!+'по статьям 1 полугодие'!#REF!</f>
        <v>#REF!</v>
      </c>
      <c r="W57" s="13">
        <f>'2 полугодие'!S58+'по статьям 1 полугодие'!S58</f>
        <v>7700.6013933014365</v>
      </c>
      <c r="X57" s="13">
        <f>'2 полугодие'!T58+'по статьям 1 полугодие'!T58</f>
        <v>5561.545450717704</v>
      </c>
      <c r="Y57" s="13">
        <f>'2 полугодие'!U58+'по статьям 1 полугодие'!U58</f>
        <v>5276.303349920256</v>
      </c>
      <c r="Z57" s="13">
        <f>'2 полугодие'!V58+'по статьям 1 полугодие'!V58</f>
        <v>2780.772725358852</v>
      </c>
      <c r="AA57" s="13">
        <f>'2 полугодие'!W58+'по статьям 1 полугодие'!W58</f>
        <v>91159.3688</v>
      </c>
      <c r="AB57" s="15">
        <f>'2 полугодие'!X58+'по статьям 1 полугодие'!X58</f>
        <v>26738.39</v>
      </c>
      <c r="AC57" s="15">
        <f t="shared" si="18"/>
        <v>117897.7588</v>
      </c>
      <c r="AD57" s="13" t="e">
        <f t="shared" si="19"/>
        <v>#REF!</v>
      </c>
      <c r="AE57" s="13">
        <f t="shared" si="20"/>
        <v>2459.8199999999997</v>
      </c>
      <c r="AF57" s="13">
        <f>'2 полугодие'!AB58+'по статьям 1 полугодие'!AB58</f>
        <v>0</v>
      </c>
      <c r="AG57" s="13">
        <f>'2 полугодие'!AC58+'по статьям 1 полугодие'!AC58</f>
        <v>31015.894318839728</v>
      </c>
      <c r="AH57" s="13" t="e">
        <f t="shared" si="21"/>
        <v>#REF!</v>
      </c>
      <c r="AI57" s="13" t="e">
        <f>'2 полугодие'!#REF!+'по статьям 1 полугодие'!#REF!</f>
        <v>#REF!</v>
      </c>
      <c r="AJ57" s="13">
        <f>'2 полугодие'!AD58+'по статьям 1 полугодие'!AD58</f>
        <v>9565.690445089911</v>
      </c>
      <c r="AK57" s="13">
        <f>'2 полугодие'!AE58+'по статьям 1 полугодие'!AE58</f>
        <v>6908.554210342713</v>
      </c>
      <c r="AL57" s="13">
        <f>'2 полугодие'!AF58+'по статьям 1 полугодие'!AF58</f>
        <v>6613.358780926362</v>
      </c>
      <c r="AM57" s="13">
        <f>'2 полугодие'!AG58+'по статьям 1 полугодие'!AG58</f>
        <v>3454.2771051713567</v>
      </c>
      <c r="AN57" s="16">
        <f>'2 полугодие'!AH58+'по статьям 1 полугодие'!AH58</f>
        <v>113349.65</v>
      </c>
      <c r="AO57" s="4">
        <f>'2 полугодие'!AI58+'по статьям 1 полугодие'!AI58</f>
        <v>26044.11</v>
      </c>
      <c r="AP57" s="15">
        <f t="shared" si="22"/>
        <v>139393.76</v>
      </c>
      <c r="AQ57" s="13">
        <f>'2 полугодие'!AK58+'по статьям 1 полугодие'!AK58</f>
        <v>3585.3</v>
      </c>
      <c r="AR57" s="13">
        <f t="shared" si="23"/>
        <v>2459.8199999999997</v>
      </c>
      <c r="AS57" s="13">
        <f>'2 полугодие'!AM58+'по статьям 1 полугодие'!AM58</f>
        <v>0</v>
      </c>
      <c r="AT57" s="13">
        <f>'2 полугодие'!AN58+'по статьям 1 полугодие'!AN58</f>
        <v>23699.32334229513</v>
      </c>
      <c r="AU57" s="13" t="e">
        <f>'2 полугодие'!#REF!+'по статьям 1 полугодие'!#REF!</f>
        <v>#REF!</v>
      </c>
      <c r="AV57" s="13" t="e">
        <f>'2 полугодие'!#REF!+'по статьям 1 полугодие'!#REF!</f>
        <v>#REF!</v>
      </c>
      <c r="AW57" s="13">
        <f>'2 полугодие'!AO58+'по статьям 1 полугодие'!AO58</f>
        <v>7333.90608885851</v>
      </c>
      <c r="AX57" s="13">
        <f>'2 полугодие'!AP58+'по статьям 1 полугодие'!AP58</f>
        <v>5296.709953064479</v>
      </c>
      <c r="AY57" s="13">
        <f>'2 полугодие'!AQ58+'по статьям 1 полугодие'!AQ58</f>
        <v>5025.050809447862</v>
      </c>
      <c r="AZ57" s="13">
        <f>'2 полугодие'!AR58+'по статьям 1 полугодие'!AR58</f>
        <v>2648.3549765322396</v>
      </c>
      <c r="BA57" s="22" t="e">
        <f t="shared" si="24"/>
        <v>#REF!</v>
      </c>
      <c r="BB57" s="15">
        <f>'2 полугодие'!AT58+'по статьям 1 полугодие'!AT58</f>
        <v>25465.13333333333</v>
      </c>
      <c r="BC57" s="15" t="e">
        <f t="shared" si="25"/>
        <v>#REF!</v>
      </c>
      <c r="BD57" s="9" t="s">
        <v>52</v>
      </c>
    </row>
    <row r="58" spans="1:56" ht="15">
      <c r="A58" s="26">
        <v>50</v>
      </c>
      <c r="B58" s="9" t="s">
        <v>53</v>
      </c>
      <c r="C58" s="11">
        <v>389.14</v>
      </c>
      <c r="D58" s="87" t="e">
        <f t="shared" si="13"/>
        <v>#REF!</v>
      </c>
      <c r="E58" s="87">
        <f>('2 полугодие'!E91+'по статьям 1 полугодие'!E59)/2</f>
        <v>0.14999957170512757</v>
      </c>
      <c r="F58" s="87"/>
      <c r="G58" s="87">
        <v>2.85</v>
      </c>
      <c r="H58" s="87" t="e">
        <f t="shared" si="14"/>
        <v>#REF!</v>
      </c>
      <c r="I58" s="87">
        <v>0.26</v>
      </c>
      <c r="J58" s="87">
        <v>1.03</v>
      </c>
      <c r="K58" s="87">
        <v>0.78</v>
      </c>
      <c r="L58" s="87">
        <v>0.58</v>
      </c>
      <c r="M58" s="87">
        <v>0.39</v>
      </c>
      <c r="N58" s="109">
        <v>11.92</v>
      </c>
      <c r="O58" s="5">
        <v>3.56</v>
      </c>
      <c r="P58" s="196">
        <f t="shared" si="15"/>
        <v>15.48</v>
      </c>
      <c r="Q58" s="13" t="e">
        <f t="shared" si="16"/>
        <v>#REF!</v>
      </c>
      <c r="R58" s="13">
        <f>('2 полугодие'!P59+'по статьям 1 полугодие'!P59)</f>
        <v>1611.04</v>
      </c>
      <c r="S58" s="13">
        <f>'2 полугодие'!Q59+'по статьям 1 полугодие'!Q59</f>
        <v>0</v>
      </c>
      <c r="T58" s="13">
        <f>'2 полугодие'!R59+'по статьям 1 полугодие'!R59</f>
        <v>16297.190063157894</v>
      </c>
      <c r="U58" s="13" t="e">
        <f t="shared" si="17"/>
        <v>#REF!</v>
      </c>
      <c r="V58" s="13" t="e">
        <f>'2 полугодие'!#REF!+'по статьям 1 полугодие'!#REF!</f>
        <v>#REF!</v>
      </c>
      <c r="W58" s="13">
        <f>'2 полугодие'!S59+'по статьям 1 полугодие'!S59</f>
        <v>5043.256673684211</v>
      </c>
      <c r="X58" s="13">
        <f>'2 полугодие'!T59+'по статьям 1 полугодие'!T59</f>
        <v>3642.352042105263</v>
      </c>
      <c r="Y58" s="13">
        <f>'2 полугодие'!U59+'по статьям 1 полугодие'!U59</f>
        <v>3455.5644842105257</v>
      </c>
      <c r="Z58" s="13">
        <f>'2 полугодие'!V59+'по статьям 1 полугодие'!V59</f>
        <v>1821.1760210526315</v>
      </c>
      <c r="AA58" s="13">
        <f>'2 полугодие'!W59+'по статьям 1 полугодие'!W59</f>
        <v>59701.8852</v>
      </c>
      <c r="AB58" s="15">
        <f>'2 полугодие'!X59+'по статьям 1 полугодие'!X59</f>
        <v>17511.33</v>
      </c>
      <c r="AC58" s="15">
        <f t="shared" si="18"/>
        <v>77213.2152</v>
      </c>
      <c r="AD58" s="13" t="e">
        <f t="shared" si="19"/>
        <v>#REF!</v>
      </c>
      <c r="AE58" s="13">
        <f t="shared" si="20"/>
        <v>1611.04</v>
      </c>
      <c r="AF58" s="13">
        <f>'2 полугодие'!AB59+'по статьям 1 полугодие'!AB59</f>
        <v>0</v>
      </c>
      <c r="AG58" s="13">
        <f>'2 полугодие'!AC59+'по статьям 1 полугодие'!AC59</f>
        <v>14569.338958543709</v>
      </c>
      <c r="AH58" s="13" t="e">
        <f t="shared" si="21"/>
        <v>#REF!</v>
      </c>
      <c r="AI58" s="13" t="e">
        <f>'2 полугодие'!#REF!+'по статьям 1 полугодие'!#REF!</f>
        <v>#REF!</v>
      </c>
      <c r="AJ58" s="13">
        <f>'2 полугодие'!AD59+'по статьям 1 полугодие'!AD59</f>
        <v>4532.736828371773</v>
      </c>
      <c r="AK58" s="13">
        <f>'2 полугодие'!AE59+'по статьям 1 полугодие'!AE59</f>
        <v>3273.6432649351696</v>
      </c>
      <c r="AL58" s="13">
        <f>'2 полугодие'!AF59+'по статьям 1 полугодие'!AF59</f>
        <v>3061.6115094047473</v>
      </c>
      <c r="AM58" s="13">
        <f>'2 полугодие'!AG59+'по статьям 1 полугодие'!AG59</f>
        <v>1636.8216324675848</v>
      </c>
      <c r="AN58" s="16">
        <f>'2 полугодие'!AH59+'по статьям 1 полугодие'!AH59</f>
        <v>53575.159999999996</v>
      </c>
      <c r="AO58" s="4">
        <f>'2 полугодие'!AI59+'по статьям 1 полугодие'!AI59</f>
        <v>16478.48</v>
      </c>
      <c r="AP58" s="15">
        <f t="shared" si="22"/>
        <v>70053.64</v>
      </c>
      <c r="AQ58" s="13">
        <f>'2 полугодие'!AK59+'по статьям 1 полугодие'!AK59</f>
        <v>58686</v>
      </c>
      <c r="AR58" s="13">
        <f t="shared" si="23"/>
        <v>1611.04</v>
      </c>
      <c r="AS58" s="13">
        <f>'2 полугодие'!AM59+'по статьям 1 полугодие'!AM59</f>
        <v>0</v>
      </c>
      <c r="AT58" s="13">
        <f>'2 полугодие'!AN59+'по статьям 1 полугодие'!AN59</f>
        <v>15521.133393483708</v>
      </c>
      <c r="AU58" s="13" t="e">
        <f>'2 полугодие'!#REF!+'по статьям 1 полугодие'!#REF!</f>
        <v>#REF!</v>
      </c>
      <c r="AV58" s="13" t="e">
        <f>'2 полугодие'!#REF!+'по статьям 1 полугодие'!#REF!</f>
        <v>#REF!</v>
      </c>
      <c r="AW58" s="13">
        <f>'2 полугодие'!AO59+'по статьям 1 полугодие'!AO59</f>
        <v>4803.101593984962</v>
      </c>
      <c r="AX58" s="13">
        <f>'2 полугодие'!AP59+'по статьям 1 полугодие'!AP59</f>
        <v>3468.906706766917</v>
      </c>
      <c r="AY58" s="13">
        <f>'2 полугодие'!AQ59+'по статьям 1 полугодие'!AQ59</f>
        <v>3291.0137944862154</v>
      </c>
      <c r="AZ58" s="13">
        <f>'2 полугодие'!AR59+'по статьям 1 полугодие'!AR59</f>
        <v>1734.4533533834585</v>
      </c>
      <c r="BA58" s="22" t="e">
        <f t="shared" si="24"/>
        <v>#REF!</v>
      </c>
      <c r="BB58" s="15">
        <f>'2 полугодие'!AT59+'по статьям 1 полугодие'!AT59</f>
        <v>16677.457142857143</v>
      </c>
      <c r="BC58" s="15" t="e">
        <f t="shared" si="25"/>
        <v>#REF!</v>
      </c>
      <c r="BD58" s="9" t="s">
        <v>53</v>
      </c>
    </row>
    <row r="59" spans="1:56" ht="15.75" thickBot="1">
      <c r="A59" s="26">
        <v>51</v>
      </c>
      <c r="B59" s="9" t="s">
        <v>54</v>
      </c>
      <c r="C59" s="11">
        <v>1193.65</v>
      </c>
      <c r="D59" s="87" t="e">
        <f t="shared" si="13"/>
        <v>#REF!</v>
      </c>
      <c r="E59" s="87">
        <f>('2 полугодие'!E92+'по статьям 1 полугодие'!E60)/2</f>
        <v>0.15000014036151513</v>
      </c>
      <c r="F59" s="88"/>
      <c r="G59" s="87">
        <v>2.85</v>
      </c>
      <c r="H59" s="87" t="e">
        <f t="shared" si="14"/>
        <v>#REF!</v>
      </c>
      <c r="I59" s="87">
        <v>0.26</v>
      </c>
      <c r="J59" s="87">
        <v>1.03</v>
      </c>
      <c r="K59" s="87">
        <v>0.78</v>
      </c>
      <c r="L59" s="87">
        <v>0.58</v>
      </c>
      <c r="M59" s="87">
        <v>0.39</v>
      </c>
      <c r="N59" s="109">
        <v>11.92</v>
      </c>
      <c r="O59" s="5">
        <v>3.56</v>
      </c>
      <c r="P59" s="196">
        <f t="shared" si="15"/>
        <v>15.48</v>
      </c>
      <c r="Q59" s="13" t="e">
        <f t="shared" si="16"/>
        <v>#REF!</v>
      </c>
      <c r="R59" s="13">
        <f>('2 полугодие'!P60+'по статьям 1 полугодие'!P60)</f>
        <v>4915.88</v>
      </c>
      <c r="S59" s="13">
        <f>'2 полугодие'!Q60+'по статьям 1 полугодие'!Q60</f>
        <v>0</v>
      </c>
      <c r="T59" s="13">
        <f>'2 полугодие'!R60+'по статьям 1 полугодие'!R60</f>
        <v>49990.01364593302</v>
      </c>
      <c r="U59" s="13" t="e">
        <f t="shared" si="17"/>
        <v>#REF!</v>
      </c>
      <c r="V59" s="13" t="e">
        <f>'2 полугодие'!#REF!+'по статьям 1 полугодие'!#REF!</f>
        <v>#REF!</v>
      </c>
      <c r="W59" s="13">
        <f>'2 полугодие'!S60+'по статьям 1 полугодие'!S60</f>
        <v>15469.687980861245</v>
      </c>
      <c r="X59" s="13">
        <f>'2 полугодие'!T60+'по статьям 1 полугодие'!T60</f>
        <v>11172.55243062201</v>
      </c>
      <c r="Y59" s="13">
        <f>'2 полугодие'!U60+'по статьям 1 полугодие'!U60</f>
        <v>10599.602952153109</v>
      </c>
      <c r="Z59" s="13">
        <f>'2 полугодие'!V60+'по статьям 1 полугодие'!V60</f>
        <v>5586.276215311005</v>
      </c>
      <c r="AA59" s="13">
        <f>'2 полугодие'!W60+'по статьям 1 полугодие'!W60</f>
        <v>183129.597</v>
      </c>
      <c r="AB59" s="15">
        <f>'2 полугодие'!X60+'по статьям 1 полугодие'!X60</f>
        <v>53714.625</v>
      </c>
      <c r="AC59" s="15">
        <f t="shared" si="18"/>
        <v>236844.222</v>
      </c>
      <c r="AD59" s="13" t="e">
        <f t="shared" si="19"/>
        <v>#REF!</v>
      </c>
      <c r="AE59" s="13">
        <f t="shared" si="20"/>
        <v>4915.88</v>
      </c>
      <c r="AF59" s="13">
        <f>'2 полугодие'!AB60+'по статьям 1 полугодие'!AB60</f>
        <v>0</v>
      </c>
      <c r="AG59" s="13">
        <f>'2 полугодие'!AC60+'по статьям 1 полугодие'!AC60</f>
        <v>47461.61203933752</v>
      </c>
      <c r="AH59" s="13" t="e">
        <f t="shared" si="21"/>
        <v>#REF!</v>
      </c>
      <c r="AI59" s="13" t="e">
        <f>'2 полугодие'!#REF!+'по статьям 1 полугодие'!#REF!</f>
        <v>#REF!</v>
      </c>
      <c r="AJ59" s="13">
        <f>'2 полугодие'!AD60+'по статьям 1 полугодие'!AD60</f>
        <v>14653.173819415631</v>
      </c>
      <c r="AK59" s="13">
        <f>'2 полугодие'!AE60+'по статьям 1 полугодие'!AE60</f>
        <v>10582.847758466844</v>
      </c>
      <c r="AL59" s="13">
        <f>'2 полугодие'!AF60+'по статьям 1 полугодие'!AF60</f>
        <v>10102.39755442293</v>
      </c>
      <c r="AM59" s="13">
        <f>'2 полугодие'!AG60+'по статьям 1 полугодие'!AG60</f>
        <v>5291.423879233422</v>
      </c>
      <c r="AN59" s="16">
        <f>'2 полугодие'!AH60+'по статьям 1 полугодие'!AH60</f>
        <v>173581.065</v>
      </c>
      <c r="AO59" s="4">
        <f>'2 полугодие'!AI60+'по статьям 1 полугодие'!AI60</f>
        <v>51394.555</v>
      </c>
      <c r="AP59" s="15">
        <f t="shared" si="22"/>
        <v>224975.62</v>
      </c>
      <c r="AQ59" s="13">
        <f>'2 полугодие'!AK60+'по статьям 1 полугодие'!AK60</f>
        <v>92077.2</v>
      </c>
      <c r="AR59" s="13">
        <f t="shared" si="23"/>
        <v>4915.88</v>
      </c>
      <c r="AS59" s="13">
        <f>'2 полугодие'!AM60+'по статьям 1 полугодие'!AM60</f>
        <v>0</v>
      </c>
      <c r="AT59" s="13">
        <f>'2 полугодие'!AN60+'по статьям 1 полугодие'!AN60</f>
        <v>47609.53680565049</v>
      </c>
      <c r="AU59" s="13" t="e">
        <f>'2 полугодие'!#REF!+'по статьям 1 полугодие'!#REF!</f>
        <v>#REF!</v>
      </c>
      <c r="AV59" s="13" t="e">
        <f>'2 полугодие'!#REF!+'по статьям 1 полугодие'!#REF!</f>
        <v>#REF!</v>
      </c>
      <c r="AW59" s="13">
        <f>'2 полугодие'!AO60+'по статьям 1 полугодие'!AO60</f>
        <v>14733.036172248803</v>
      </c>
      <c r="AX59" s="13">
        <f>'2 полугодие'!AP60+'по статьям 1 полугодие'!AP60</f>
        <v>10640.526124401915</v>
      </c>
      <c r="AY59" s="13">
        <f>'2 полугодие'!AQ60+'по статьям 1 полугодие'!AQ60</f>
        <v>10094.859954431533</v>
      </c>
      <c r="AZ59" s="13">
        <f>'2 полугодие'!AR60+'по статьям 1 полугодие'!AR60</f>
        <v>5320.263062200957</v>
      </c>
      <c r="BA59" s="22" t="e">
        <f t="shared" si="24"/>
        <v>#REF!</v>
      </c>
      <c r="BB59" s="15">
        <f>'2 полугодие'!AT60+'по статьям 1 полугодие'!AT60</f>
        <v>51156.78571428571</v>
      </c>
      <c r="BC59" s="15" t="e">
        <f t="shared" si="25"/>
        <v>#REF!</v>
      </c>
      <c r="BD59" s="9" t="s">
        <v>54</v>
      </c>
    </row>
    <row r="60" spans="1:56" s="137" customFormat="1" ht="15.75" thickBot="1">
      <c r="A60" s="26">
        <v>52</v>
      </c>
      <c r="B60" s="27" t="s">
        <v>55</v>
      </c>
      <c r="C60" s="28">
        <v>1252.7</v>
      </c>
      <c r="D60" s="167" t="e">
        <f t="shared" si="13"/>
        <v>#REF!</v>
      </c>
      <c r="E60" s="167">
        <f>('2 полугодие'!E93+'по статьям 1 полугодие'!E61)/2</f>
        <v>0.15</v>
      </c>
      <c r="F60" s="168">
        <v>7.34</v>
      </c>
      <c r="G60" s="167">
        <v>2.85</v>
      </c>
      <c r="H60" s="167" t="e">
        <f t="shared" si="14"/>
        <v>#REF!</v>
      </c>
      <c r="I60" s="167">
        <v>0.26</v>
      </c>
      <c r="J60" s="167">
        <v>1.03</v>
      </c>
      <c r="K60" s="167">
        <v>0.78</v>
      </c>
      <c r="L60" s="167">
        <v>0.58</v>
      </c>
      <c r="M60" s="167">
        <v>0.39</v>
      </c>
      <c r="N60" s="169">
        <v>21.34</v>
      </c>
      <c r="O60" s="170">
        <v>3.56</v>
      </c>
      <c r="P60" s="216">
        <f t="shared" si="15"/>
        <v>24.9</v>
      </c>
      <c r="Q60" s="30" t="e">
        <f t="shared" si="16"/>
        <v>#REF!</v>
      </c>
      <c r="R60" s="30">
        <f>('2 полугодие'!P61+'по статьям 1 полугодие'!P61)</f>
        <v>5186.18</v>
      </c>
      <c r="S60" s="30">
        <f>'2 полугодие'!Q61+'по статьям 1 полугодие'!Q61</f>
        <v>115419.25649499285</v>
      </c>
      <c r="T60" s="30">
        <f>'2 полугодие'!R61+'по статьям 1 полугодие'!R61</f>
        <v>53294.111095851214</v>
      </c>
      <c r="U60" s="30" t="e">
        <f t="shared" si="17"/>
        <v>#REF!</v>
      </c>
      <c r="V60" s="30" t="e">
        <f>'2 полугодие'!#REF!+'по статьям 1 полугодие'!#REF!</f>
        <v>#REF!</v>
      </c>
      <c r="W60" s="30">
        <f>'2 полугодие'!S61+'по статьям 1 полугодие'!S61</f>
        <v>16510.30424034335</v>
      </c>
      <c r="X60" s="30">
        <f>'2 полугодие'!T61+'по статьям 1 полугодие'!T61</f>
        <v>11924.108618025752</v>
      </c>
      <c r="Y60" s="30">
        <f>'2 полугодие'!U61+'по статьям 1 полугодие'!U61</f>
        <v>11279.47643204578</v>
      </c>
      <c r="Z60" s="30">
        <f>'2 полугодие'!V61+'по статьям 1 полугодие'!V61</f>
        <v>5962.054309012876</v>
      </c>
      <c r="AA60" s="30">
        <f>'2 полугодие'!W61+'по статьям 1 полугодие'!W61</f>
        <v>320575.07399999996</v>
      </c>
      <c r="AB60" s="202">
        <f>'2 полугодие'!X61+'по статьям 1 полугодие'!X61</f>
        <v>56822.490000000005</v>
      </c>
      <c r="AC60" s="202">
        <f t="shared" si="18"/>
        <v>377397.56399999995</v>
      </c>
      <c r="AD60" s="30" t="e">
        <f t="shared" si="19"/>
        <v>#REF!</v>
      </c>
      <c r="AE60" s="30">
        <f t="shared" si="20"/>
        <v>5186.18</v>
      </c>
      <c r="AF60" s="30">
        <f>'2 полугодие'!AB61+'по статьям 1 полугодие'!AB61</f>
        <v>120628.33381020505</v>
      </c>
      <c r="AG60" s="30">
        <f>'2 полугодие'!AC61+'по статьям 1 полугодие'!AC61</f>
        <v>55626.2223843586</v>
      </c>
      <c r="AH60" s="30" t="e">
        <f t="shared" si="21"/>
        <v>#REF!</v>
      </c>
      <c r="AI60" s="30" t="e">
        <f>'2 полугодие'!#REF!+'по статьям 1 полугодие'!#REF!</f>
        <v>#REF!</v>
      </c>
      <c r="AJ60" s="30">
        <f>'2 полугодие'!AD61+'по статьям 1 полугодие'!AD61</f>
        <v>17255.443776824035</v>
      </c>
      <c r="AK60" s="30">
        <f>'2 полугодие'!AE61+'по статьям 1 полугодие'!AE61</f>
        <v>12462.264949928469</v>
      </c>
      <c r="AL60" s="30">
        <f>'2 полугодие'!AF61+'по статьям 1 полугодие'!AF61</f>
        <v>11747.195298044826</v>
      </c>
      <c r="AM60" s="30">
        <f>'2 полугодие'!AG61+'по статьям 1 полугодие'!AG61</f>
        <v>6231.1324749642345</v>
      </c>
      <c r="AN60" s="32">
        <f>'2 полугодие'!AH61+'по статьям 1 полугодие'!AH61</f>
        <v>335043.19999999995</v>
      </c>
      <c r="AO60" s="31">
        <f>'2 полугодие'!AI61+'по статьям 1 полугодие'!AI61</f>
        <v>56484.17</v>
      </c>
      <c r="AP60" s="202">
        <f t="shared" si="22"/>
        <v>391527.36999999994</v>
      </c>
      <c r="AQ60" s="30">
        <f>'2 полугодие'!AK61+'по статьям 1 полугодие'!AK61</f>
        <v>23977</v>
      </c>
      <c r="AR60" s="30">
        <f t="shared" si="23"/>
        <v>5186.18</v>
      </c>
      <c r="AS60" s="30">
        <f>'2 полугодие'!AM61+'по статьям 1 полугодие'!AM61</f>
        <v>112625.35428094555</v>
      </c>
      <c r="AT60" s="30">
        <f>'2 полугодие'!AN61+'по статьям 1 полугодие'!AN61</f>
        <v>50756.29628176306</v>
      </c>
      <c r="AU60" s="30" t="e">
        <f>'2 полугодие'!#REF!+'по статьям 1 полугодие'!#REF!</f>
        <v>#REF!</v>
      </c>
      <c r="AV60" s="30" t="e">
        <f>'2 полугодие'!#REF!+'по статьям 1 полугодие'!#REF!</f>
        <v>#REF!</v>
      </c>
      <c r="AW60" s="30">
        <f>'2 полугодие'!AO61+'по статьям 1 полугодие'!AO61</f>
        <v>15724.099276517474</v>
      </c>
      <c r="AX60" s="30">
        <f>'2 полугодие'!AP61+'по статьям 1 полугодие'!AP61</f>
        <v>11356.293921929286</v>
      </c>
      <c r="AY60" s="30">
        <f>'2 полугодие'!AQ61+'по статьям 1 полугодие'!AQ61</f>
        <v>10742.358506710265</v>
      </c>
      <c r="AZ60" s="30">
        <f>'2 полугодие'!AR61+'по статьям 1 полугодие'!AR61</f>
        <v>5678.146960964643</v>
      </c>
      <c r="BA60" s="69" t="e">
        <f t="shared" si="24"/>
        <v>#REF!</v>
      </c>
      <c r="BB60" s="202">
        <f>'2 полугодие'!AT61+'по статьям 1 полугодие'!AT61</f>
        <v>54116.65714285714</v>
      </c>
      <c r="BC60" s="202" t="e">
        <f t="shared" si="25"/>
        <v>#REF!</v>
      </c>
      <c r="BD60" s="27" t="s">
        <v>55</v>
      </c>
    </row>
    <row r="61" spans="1:56" ht="15">
      <c r="A61" s="26">
        <v>53</v>
      </c>
      <c r="B61" s="9" t="s">
        <v>56</v>
      </c>
      <c r="C61" s="12">
        <v>676.5</v>
      </c>
      <c r="D61" s="87" t="e">
        <f t="shared" si="13"/>
        <v>#REF!</v>
      </c>
      <c r="E61" s="87">
        <f>('2 полугодие'!E94+'по статьям 1 полугодие'!E62)/2</f>
        <v>0.15068982508006898</v>
      </c>
      <c r="F61" s="89"/>
      <c r="G61" s="87">
        <v>2.85</v>
      </c>
      <c r="H61" s="87" t="e">
        <f>U61/C61/12</f>
        <v>#REF!</v>
      </c>
      <c r="I61" s="87">
        <v>0.26</v>
      </c>
      <c r="J61" s="87">
        <v>1.03</v>
      </c>
      <c r="K61" s="87">
        <v>0.78</v>
      </c>
      <c r="L61" s="87">
        <v>0.58</v>
      </c>
      <c r="M61" s="87">
        <v>0.39</v>
      </c>
      <c r="N61" s="109">
        <v>11.92</v>
      </c>
      <c r="O61" s="5">
        <v>3.56</v>
      </c>
      <c r="P61" s="196">
        <f t="shared" si="15"/>
        <v>15.48</v>
      </c>
      <c r="Q61" s="13" t="e">
        <f t="shared" si="16"/>
        <v>#REF!</v>
      </c>
      <c r="R61" s="13">
        <f>('2 полугодие'!P62+'по статьям 1 полугодие'!P62)</f>
        <v>2813.59</v>
      </c>
      <c r="S61" s="13">
        <f>'2 полугодие'!Q62+'по статьям 1 полугодие'!Q62</f>
        <v>0</v>
      </c>
      <c r="T61" s="13">
        <f>'2 полугодие'!R62+'по статьям 1 полугодие'!R62</f>
        <v>28331.82</v>
      </c>
      <c r="U61" s="13" t="e">
        <f t="shared" si="17"/>
        <v>#REF!</v>
      </c>
      <c r="V61" s="13" t="e">
        <f>'2 полугодие'!#REF!+'по статьям 1 полугодие'!#REF!</f>
        <v>#REF!</v>
      </c>
      <c r="W61" s="13">
        <f>'2 полугодие'!S62+'по статьям 1 полугодие'!S62</f>
        <v>8767.440000000002</v>
      </c>
      <c r="X61" s="13">
        <f>'2 полугодие'!T62+'по статьям 1 полугодие'!T62</f>
        <v>6332.040000000001</v>
      </c>
      <c r="Y61" s="13">
        <f>'2 полугодие'!U62+'по статьям 1 полугодие'!U62</f>
        <v>6007.32</v>
      </c>
      <c r="Z61" s="13">
        <f>'2 полугодие'!V62+'по статьям 1 полугодие'!V62</f>
        <v>3166.0200000000004</v>
      </c>
      <c r="AA61" s="13">
        <f>'2 полугодие'!W62+'по статьям 1 полугодие'!W62</f>
        <v>103788.63</v>
      </c>
      <c r="AB61" s="15">
        <f>'2 полугодие'!X62+'по статьям 1 полугодие'!X62</f>
        <v>30442.71</v>
      </c>
      <c r="AC61" s="15">
        <f t="shared" si="18"/>
        <v>134231.34</v>
      </c>
      <c r="AD61" s="13" t="e">
        <f t="shared" si="19"/>
        <v>#REF!</v>
      </c>
      <c r="AE61" s="13">
        <f t="shared" si="20"/>
        <v>2813.59</v>
      </c>
      <c r="AF61" s="13">
        <f>'2 полугодие'!AB62+'по статьям 1 полугодие'!AB62</f>
        <v>0</v>
      </c>
      <c r="AG61" s="13">
        <f>'2 полугодие'!AC62+'по статьям 1 полугодие'!AC62</f>
        <v>34770.93142861339</v>
      </c>
      <c r="AH61" s="13" t="e">
        <f t="shared" si="21"/>
        <v>#REF!</v>
      </c>
      <c r="AI61" s="13" t="e">
        <f>'2 полугодие'!#REF!+'по статьям 1 полугодие'!#REF!</f>
        <v>#REF!</v>
      </c>
      <c r="AJ61" s="13">
        <f>'2 полугодие'!AD62+'по статьям 1 полугодие'!AD62</f>
        <v>10934.89663485442</v>
      </c>
      <c r="AK61" s="13">
        <f>'2 полугодие'!AE62+'по статьям 1 полугодие'!AE62</f>
        <v>7897.425347394859</v>
      </c>
      <c r="AL61" s="13">
        <f>'2 полугодие'!AF62+'по статьям 1 полугодие'!AF62</f>
        <v>7173.090082915024</v>
      </c>
      <c r="AM61" s="13">
        <f>'2 полугодие'!AG62+'по статьям 1 полугодие'!AG62</f>
        <v>3948.7126736974296</v>
      </c>
      <c r="AN61" s="16">
        <f>'2 полугодие'!AH62+'по статьям 1 полугодие'!AH62</f>
        <v>128845.06999999999</v>
      </c>
      <c r="AO61" s="4">
        <f>'2 полугодие'!AI62+'по статьям 1 полугодие'!AI62</f>
        <v>33305.41</v>
      </c>
      <c r="AP61" s="15">
        <f t="shared" si="22"/>
        <v>162150.47999999998</v>
      </c>
      <c r="AQ61" s="13">
        <f>'2 полугодие'!AK62+'по статьям 1 полугодие'!AK62</f>
        <v>4978.4</v>
      </c>
      <c r="AR61" s="13">
        <f t="shared" si="23"/>
        <v>2813.59</v>
      </c>
      <c r="AS61" s="13">
        <f>'2 полугодие'!AM62+'по статьям 1 полугодие'!AM62</f>
        <v>0</v>
      </c>
      <c r="AT61" s="13">
        <f>'2 полугодие'!AN62+'по статьям 1 полугодие'!AN62</f>
        <v>26982.685714285715</v>
      </c>
      <c r="AU61" s="13" t="e">
        <f>'2 полугодие'!#REF!+'по статьям 1 полугодие'!#REF!</f>
        <v>#REF!</v>
      </c>
      <c r="AV61" s="13" t="e">
        <f>'2 полугодие'!#REF!+'по статьям 1 полугодие'!#REF!</f>
        <v>#REF!</v>
      </c>
      <c r="AW61" s="13">
        <f>'2 полугодие'!AO62+'по статьям 1 полугодие'!AO62</f>
        <v>8349.942857142858</v>
      </c>
      <c r="AX61" s="13">
        <f>'2 полугодие'!AP62+'по статьям 1 полугодие'!AP62</f>
        <v>6030.5142857142855</v>
      </c>
      <c r="AY61" s="13">
        <f>'2 полугодие'!AQ62+'по статьям 1 полугодие'!AQ62</f>
        <v>5721.257142857143</v>
      </c>
      <c r="AZ61" s="13">
        <f>'2 полугодие'!AR62+'по статьям 1 полугодие'!AR62</f>
        <v>3015.2571428571428</v>
      </c>
      <c r="BA61" s="22" t="e">
        <f t="shared" si="24"/>
        <v>#REF!</v>
      </c>
      <c r="BB61" s="15">
        <f>'2 полугодие'!AT62+'по статьям 1 полугодие'!AT62</f>
        <v>28993.057142857142</v>
      </c>
      <c r="BC61" s="15" t="e">
        <f t="shared" si="25"/>
        <v>#REF!</v>
      </c>
      <c r="BD61" s="9" t="s">
        <v>56</v>
      </c>
    </row>
    <row r="62" spans="1:56" ht="15">
      <c r="A62" s="26">
        <v>54</v>
      </c>
      <c r="B62" s="9" t="s">
        <v>57</v>
      </c>
      <c r="C62" s="11">
        <v>285</v>
      </c>
      <c r="D62" s="87" t="e">
        <f t="shared" si="13"/>
        <v>#REF!</v>
      </c>
      <c r="E62" s="87">
        <f>('2 полугодие'!E95+'по статьям 1 полугодие'!E63)/2</f>
        <v>0.15</v>
      </c>
      <c r="F62" s="87"/>
      <c r="G62" s="87">
        <v>2.85</v>
      </c>
      <c r="H62" s="87" t="e">
        <f t="shared" si="14"/>
        <v>#REF!</v>
      </c>
      <c r="I62" s="87">
        <v>0.26</v>
      </c>
      <c r="J62" s="87">
        <v>1.03</v>
      </c>
      <c r="K62" s="87">
        <v>0.78</v>
      </c>
      <c r="L62" s="87">
        <v>0.58</v>
      </c>
      <c r="M62" s="87">
        <v>0.39</v>
      </c>
      <c r="N62" s="109">
        <v>11.92</v>
      </c>
      <c r="O62" s="5">
        <v>3.56</v>
      </c>
      <c r="P62" s="196">
        <f t="shared" si="15"/>
        <v>15.48</v>
      </c>
      <c r="Q62" s="13" t="e">
        <f t="shared" si="16"/>
        <v>#REF!</v>
      </c>
      <c r="R62" s="13">
        <f>('2 полугодие'!P63+'по статьям 1 полугодие'!P63)</f>
        <v>1179.9</v>
      </c>
      <c r="S62" s="13">
        <f>'2 полугодие'!Q63+'по статьям 1 полугодие'!Q63</f>
        <v>0</v>
      </c>
      <c r="T62" s="13">
        <f>'2 полугодие'!R63+'по статьям 1 полугодие'!R63</f>
        <v>11935.800000000001</v>
      </c>
      <c r="U62" s="13" t="e">
        <f t="shared" si="17"/>
        <v>#REF!</v>
      </c>
      <c r="V62" s="13" t="e">
        <f>'2 полугодие'!#REF!+'по статьям 1 полугодие'!#REF!</f>
        <v>#REF!</v>
      </c>
      <c r="W62" s="13">
        <f>'2 полугодие'!S63+'по статьям 1 полугодие'!S63</f>
        <v>3693.6000000000004</v>
      </c>
      <c r="X62" s="13">
        <f>'2 полугодие'!T63+'по статьям 1 полугодие'!T63</f>
        <v>2667.6000000000004</v>
      </c>
      <c r="Y62" s="13">
        <f>'2 полугодие'!U63+'по статьям 1 полугодие'!U63</f>
        <v>2530.8</v>
      </c>
      <c r="Z62" s="13">
        <f>'2 полугодие'!V63+'по статьям 1 полугодие'!V63</f>
        <v>1333.8000000000002</v>
      </c>
      <c r="AA62" s="13">
        <f>'2 полугодие'!W63+'по статьям 1 полугодие'!W63</f>
        <v>43724.700000000004</v>
      </c>
      <c r="AB62" s="15">
        <f>'2 полугодие'!X63+'по статьям 1 полугодие'!X63</f>
        <v>12825.119999999999</v>
      </c>
      <c r="AC62" s="15">
        <f t="shared" si="18"/>
        <v>56549.82000000001</v>
      </c>
      <c r="AD62" s="13" t="e">
        <f t="shared" si="19"/>
        <v>#REF!</v>
      </c>
      <c r="AE62" s="13">
        <f t="shared" si="20"/>
        <v>1179.9</v>
      </c>
      <c r="AF62" s="13">
        <f>'2 полугодие'!AB63+'по статьям 1 полугодие'!AB63</f>
        <v>0</v>
      </c>
      <c r="AG62" s="13">
        <f>'2 полугодие'!AC63+'по статьям 1 полугодие'!AC63</f>
        <v>13000.267375214356</v>
      </c>
      <c r="AH62" s="13" t="e">
        <f t="shared" si="21"/>
        <v>#REF!</v>
      </c>
      <c r="AI62" s="13" t="e">
        <f>'2 полугодие'!#REF!+'по статьям 1 полугодие'!#REF!</f>
        <v>#REF!</v>
      </c>
      <c r="AJ62" s="13">
        <f>'2 полугодие'!AD63+'по статьям 1 полугодие'!AD63</f>
        <v>4006.3530302173494</v>
      </c>
      <c r="AK62" s="13">
        <f>'2 полугодие'!AE63+'по статьям 1 полугодие'!AE63</f>
        <v>2893.4771884903075</v>
      </c>
      <c r="AL62" s="13">
        <f>'2 полугодие'!AF63+'по статьям 1 полугодие'!AF63</f>
        <v>2775.5090797644007</v>
      </c>
      <c r="AM62" s="13">
        <f>'2 полугодие'!AG63+'по статьям 1 полугодие'!AG63</f>
        <v>1446.7385942451538</v>
      </c>
      <c r="AN62" s="16">
        <f>'2 полугодие'!AH63+'по статьям 1 полугодие'!AH63</f>
        <v>47484.380000000005</v>
      </c>
      <c r="AO62" s="4">
        <f>'2 полугодие'!AI63+'по статьям 1 полугодие'!AI63</f>
        <v>12323.89</v>
      </c>
      <c r="AP62" s="15">
        <f t="shared" si="22"/>
        <v>59808.270000000004</v>
      </c>
      <c r="AQ62" s="13">
        <f>'2 полугодие'!AK63+'по статьям 1 полугодие'!AK63</f>
        <v>0</v>
      </c>
      <c r="AR62" s="13">
        <f t="shared" si="23"/>
        <v>1179.9</v>
      </c>
      <c r="AS62" s="13">
        <f>'2 полугодие'!AM63+'по статьям 1 полугодие'!AM63</f>
        <v>0</v>
      </c>
      <c r="AT62" s="13">
        <f>'2 полугодие'!AN63+'по статьям 1 полугодие'!AN63</f>
        <v>11367.428571428572</v>
      </c>
      <c r="AU62" s="13" t="e">
        <f>'2 полугодие'!#REF!+'по статьям 1 полугодие'!#REF!</f>
        <v>#REF!</v>
      </c>
      <c r="AV62" s="13" t="e">
        <f>'2 полугодие'!#REF!+'по статьям 1 полугодие'!#REF!</f>
        <v>#REF!</v>
      </c>
      <c r="AW62" s="13">
        <f>'2 полугодие'!AO63+'по статьям 1 полугодие'!AO63</f>
        <v>3517.7142857142862</v>
      </c>
      <c r="AX62" s="13">
        <f>'2 полугодие'!AP63+'по статьям 1 полугодие'!AP63</f>
        <v>2540.5714285714284</v>
      </c>
      <c r="AY62" s="13">
        <f>'2 полугодие'!AQ63+'по статьям 1 полугодие'!AQ63</f>
        <v>2410.2857142857147</v>
      </c>
      <c r="AZ62" s="13">
        <f>'2 полугодие'!AR63+'по статьям 1 полугодие'!AR63</f>
        <v>1270.2857142857142</v>
      </c>
      <c r="BA62" s="22" t="e">
        <f t="shared" si="24"/>
        <v>#REF!</v>
      </c>
      <c r="BB62" s="15">
        <f>'2 полугодие'!AT63+'по статьям 1 полугодие'!AT63</f>
        <v>12214.4</v>
      </c>
      <c r="BC62" s="15" t="e">
        <f t="shared" si="25"/>
        <v>#REF!</v>
      </c>
      <c r="BD62" s="9" t="s">
        <v>57</v>
      </c>
    </row>
    <row r="63" spans="1:56" ht="15">
      <c r="A63" s="26">
        <v>55</v>
      </c>
      <c r="B63" s="99" t="s">
        <v>58</v>
      </c>
      <c r="C63" s="100">
        <v>726.91</v>
      </c>
      <c r="D63" s="87" t="e">
        <f t="shared" si="13"/>
        <v>#REF!</v>
      </c>
      <c r="E63" s="87">
        <f>('2 полугодие'!E96+'по статьям 1 полугодие'!E64)/2</f>
        <v>0.17839897648952419</v>
      </c>
      <c r="F63" s="88"/>
      <c r="G63" s="87">
        <v>2.85</v>
      </c>
      <c r="H63" s="87" t="e">
        <f t="shared" si="14"/>
        <v>#REF!</v>
      </c>
      <c r="I63" s="87">
        <v>0.26</v>
      </c>
      <c r="J63" s="87">
        <v>1.03</v>
      </c>
      <c r="K63" s="87">
        <v>0.78</v>
      </c>
      <c r="L63" s="87">
        <v>0.58</v>
      </c>
      <c r="M63" s="87">
        <v>0.39</v>
      </c>
      <c r="N63" s="109">
        <v>11.92</v>
      </c>
      <c r="O63" s="5">
        <v>3.56</v>
      </c>
      <c r="P63" s="196">
        <f t="shared" si="15"/>
        <v>15.48</v>
      </c>
      <c r="Q63" s="13" t="e">
        <f t="shared" si="16"/>
        <v>#REF!</v>
      </c>
      <c r="R63" s="13">
        <f>('2 полугодие'!P64+'по статьям 1 полугодие'!P64)</f>
        <v>2944.69</v>
      </c>
      <c r="S63" s="13">
        <f>'2 полугодие'!Q64+'по статьям 1 полугодие'!Q64</f>
        <v>0</v>
      </c>
      <c r="T63" s="13">
        <f>'2 полугодие'!R64+'по статьям 1 полугодие'!R64</f>
        <v>30444.002491866027</v>
      </c>
      <c r="U63" s="13" t="e">
        <f t="shared" si="17"/>
        <v>#REF!</v>
      </c>
      <c r="V63" s="13" t="e">
        <f>'2 полугодие'!#REF!+'по статьям 1 полугодие'!#REF!</f>
        <v>#REF!</v>
      </c>
      <c r="W63" s="13">
        <f>'2 полугодие'!S64+'по статьям 1 полугодие'!S64</f>
        <v>9421.088761722487</v>
      </c>
      <c r="X63" s="13">
        <f>'2 полугодие'!T64+'по статьям 1 полугодие'!T64</f>
        <v>6804.119661244019</v>
      </c>
      <c r="Y63" s="13">
        <f>'2 полугодие'!U64+'по статьям 1 полугодие'!U64</f>
        <v>6455.15010430622</v>
      </c>
      <c r="Z63" s="13">
        <f>'2 полугодие'!V64+'по статьям 1 полугодие'!V64</f>
        <v>3402.0598306220095</v>
      </c>
      <c r="AA63" s="13">
        <f>'2 полугодие'!W64+'по статьям 1 полугодие'!W64</f>
        <v>111526.42379999999</v>
      </c>
      <c r="AB63" s="15">
        <f>'2 полугодие'!X64+'по статьям 1 полугодие'!X64</f>
        <v>32712.254999999997</v>
      </c>
      <c r="AC63" s="15">
        <f t="shared" si="18"/>
        <v>144238.6788</v>
      </c>
      <c r="AD63" s="13" t="e">
        <f t="shared" si="19"/>
        <v>#REF!</v>
      </c>
      <c r="AE63" s="13">
        <f>R63</f>
        <v>2944.69</v>
      </c>
      <c r="AF63" s="13">
        <f>'2 полугодие'!AB64+'по статьям 1 полугодие'!AB64</f>
        <v>0</v>
      </c>
      <c r="AG63" s="13">
        <f>'2 полугодие'!AC64+'по статьям 1 полугодие'!AC64</f>
        <v>29911.367230266067</v>
      </c>
      <c r="AH63" s="13" t="e">
        <f t="shared" si="21"/>
        <v>#REF!</v>
      </c>
      <c r="AI63" s="13" t="e">
        <f>'2 полугодие'!#REF!+'по статьям 1 полугодие'!#REF!</f>
        <v>#REF!</v>
      </c>
      <c r="AJ63" s="13">
        <f>'2 полугодие'!AD64+'по статьям 1 полугодие'!AD64</f>
        <v>9262.427629283913</v>
      </c>
      <c r="AK63" s="13">
        <f>'2 полугодие'!AE64+'по статьям 1 полугодие'!AE64</f>
        <v>6689.5310655939375</v>
      </c>
      <c r="AL63" s="13">
        <f>'2 полугодие'!AF64+'по статьям 1 полугодие'!AF64</f>
        <v>6335.176031511137</v>
      </c>
      <c r="AM63" s="13">
        <f>'2 полугодие'!AG64+'по статьям 1 полугодие'!AG64</f>
        <v>3344.7655327969687</v>
      </c>
      <c r="AN63" s="16">
        <f>'2 полугодие'!AH64+'по статьям 1 полугодие'!AH64</f>
        <v>109626.975</v>
      </c>
      <c r="AO63" s="4">
        <f>'2 полугодие'!AI64+'по статьям 1 полугодие'!AI64</f>
        <v>32379.515</v>
      </c>
      <c r="AP63" s="15">
        <f t="shared" si="22"/>
        <v>142006.49</v>
      </c>
      <c r="AQ63" s="13">
        <f>'2 полугодие'!AK64+'по статьям 1 полугодие'!AK64</f>
        <v>33215</v>
      </c>
      <c r="AR63" s="13">
        <f t="shared" si="23"/>
        <v>2944.69</v>
      </c>
      <c r="AS63" s="13">
        <f>'2 полугодие'!AM64+'по статьям 1 полугодие'!AM64</f>
        <v>0</v>
      </c>
      <c r="AT63" s="13">
        <f>'2 полугодие'!AN64+'по статьям 1 полугодие'!AN64</f>
        <v>28994.288087491455</v>
      </c>
      <c r="AU63" s="13" t="e">
        <f>'2 полугодие'!#REF!+'по статьям 1 полугодие'!#REF!</f>
        <v>#REF!</v>
      </c>
      <c r="AV63" s="13" t="e">
        <f>'2 полугодие'!#REF!+'по статьям 1 полугодие'!#REF!</f>
        <v>#REF!</v>
      </c>
      <c r="AW63" s="13">
        <f>'2 полугодие'!AO64+'по статьям 1 полугодие'!AO64</f>
        <v>8972.46548735475</v>
      </c>
      <c r="AX63" s="13">
        <f>'2 полугодие'!AP64+'по статьям 1 полугодие'!AP64</f>
        <v>6480.113963089541</v>
      </c>
      <c r="AY63" s="13">
        <f>'2 полугодие'!AQ64+'по статьям 1 полугодие'!AQ64</f>
        <v>6147.762004101161</v>
      </c>
      <c r="AZ63" s="13">
        <f>'2 полугодие'!AR64+'по статьям 1 полугодие'!AR64</f>
        <v>3240.0569815447707</v>
      </c>
      <c r="BA63" s="22" t="e">
        <f t="shared" si="24"/>
        <v>#REF!</v>
      </c>
      <c r="BB63" s="15">
        <f>'2 полугодие'!AT64+'по статьям 1 полугодие'!AT64</f>
        <v>31154.52857142857</v>
      </c>
      <c r="BC63" s="15" t="e">
        <f t="shared" si="25"/>
        <v>#REF!</v>
      </c>
      <c r="BD63" s="99" t="s">
        <v>58</v>
      </c>
    </row>
    <row r="64" spans="1:56" ht="15">
      <c r="A64" s="39"/>
      <c r="B64" s="10"/>
      <c r="C64" s="10"/>
      <c r="D64" s="110"/>
      <c r="E64" s="111"/>
      <c r="F64" s="111"/>
      <c r="G64" s="111"/>
      <c r="H64" s="111"/>
      <c r="I64" s="111"/>
      <c r="J64" s="111"/>
      <c r="K64" s="111"/>
      <c r="L64" s="111"/>
      <c r="M64" s="112"/>
      <c r="N64" s="109"/>
      <c r="O64" s="8"/>
      <c r="P64" s="8"/>
      <c r="Q64" s="13"/>
      <c r="R64" s="13">
        <f>'2 полугодие'!P65+'по статьям 1 полугодие'!P65</f>
        <v>0</v>
      </c>
      <c r="S64" s="13">
        <f>'2 полугодие'!Q65+'по статьям 1 полугодие'!Q65</f>
        <v>0</v>
      </c>
      <c r="T64" s="13">
        <f>'2 полугодие'!R65+'по статьям 1 полугодие'!R65</f>
        <v>0</v>
      </c>
      <c r="U64" s="13"/>
      <c r="V64" s="13"/>
      <c r="W64" s="13" t="e">
        <f>'2 полугодие'!S65+'по статьям 1 полугодие'!#REF!</f>
        <v>#REF!</v>
      </c>
      <c r="X64" s="13" t="e">
        <f>'2 полугодие'!T65+'по статьям 1 полугодие'!#REF!</f>
        <v>#REF!</v>
      </c>
      <c r="Y64" s="13">
        <f>'2 полугодие'!U65+'по статьям 1 полугодие'!S65</f>
        <v>0</v>
      </c>
      <c r="Z64" s="13">
        <f>'2 полугодие'!V65+'по статьям 1 полугодие'!T65</f>
        <v>0</v>
      </c>
      <c r="AA64" s="13"/>
      <c r="AB64" s="43"/>
      <c r="AC64" s="43"/>
      <c r="AD64" s="13">
        <f>'2 полугодие'!Z65+'по статьям 1 полугодие'!Z65</f>
        <v>0</v>
      </c>
      <c r="AE64" s="13">
        <f>'2 полугодие'!AA65+'по статьям 1 полугодие'!AA65</f>
        <v>0</v>
      </c>
      <c r="AF64" s="13">
        <f>'2 полугодие'!AB65+'по статьям 1 полугодие'!AB65</f>
        <v>0</v>
      </c>
      <c r="AG64" s="13">
        <f>'2 полугодие'!AC65+'по статьям 1 полугодие'!AC65</f>
        <v>0</v>
      </c>
      <c r="AH64" s="13"/>
      <c r="AI64" s="13"/>
      <c r="AJ64" s="13" t="e">
        <f>'2 полугодие'!AD65+'по статьям 1 полугодие'!#REF!</f>
        <v>#REF!</v>
      </c>
      <c r="AK64" s="13" t="e">
        <f>'2 полугодие'!AE65+'по статьям 1 полугодие'!#REF!</f>
        <v>#REF!</v>
      </c>
      <c r="AL64" s="13">
        <f>'2 полугодие'!AF65+'по статьям 1 полугодие'!AD65</f>
        <v>0</v>
      </c>
      <c r="AM64" s="13">
        <f>'2 полугодие'!AG65+'по статьям 1 полугодие'!AE65</f>
        <v>0</v>
      </c>
      <c r="AN64" s="16"/>
      <c r="AO64" s="8"/>
      <c r="AP64" s="8"/>
      <c r="AQ64" s="13"/>
      <c r="AR64" s="13">
        <f>'2 полугодие'!AL65+'по статьям 1 полугодие'!AL65</f>
        <v>0</v>
      </c>
      <c r="AS64" s="13">
        <f>'2 полугодие'!AM65+'по статьям 1 полугодие'!AM65</f>
        <v>0</v>
      </c>
      <c r="AT64" s="13">
        <f>'2 полугодие'!AN65+'по статьям 1 полугодие'!AN65</f>
        <v>0</v>
      </c>
      <c r="AU64" s="13"/>
      <c r="AV64" s="13"/>
      <c r="AW64" s="13" t="e">
        <f>'2 полугодие'!AO65+'по статьям 1 полугодие'!#REF!</f>
        <v>#REF!</v>
      </c>
      <c r="AX64" s="13" t="e">
        <f>'2 полугодие'!AP65+'по статьям 1 полугодие'!#REF!</f>
        <v>#REF!</v>
      </c>
      <c r="AY64" s="13">
        <f>'2 полугодие'!AQ65+'по статьям 1 полугодие'!AO65</f>
        <v>0</v>
      </c>
      <c r="AZ64" s="13">
        <f>'2 полугодие'!AR65+'по статьям 1 полугодие'!AR65</f>
        <v>0</v>
      </c>
      <c r="BA64" s="74" t="e">
        <f>SUM(AQ64:AZ64)</f>
        <v>#REF!</v>
      </c>
      <c r="BB64" s="8"/>
      <c r="BC64" s="8"/>
      <c r="BD64" s="10" t="s">
        <v>66</v>
      </c>
    </row>
    <row r="65" spans="3:55" ht="12.75">
      <c r="C65" s="3">
        <f>SUM(C6:C64)</f>
        <v>35568.72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9" t="e">
        <f aca="true" t="shared" si="26" ref="Q65:Z65">SUM(Q6:Q64)</f>
        <v>#REF!</v>
      </c>
      <c r="R65" s="19">
        <f>SUM(R6:R64)</f>
        <v>180283.78</v>
      </c>
      <c r="S65" s="19">
        <f t="shared" si="26"/>
        <v>497453.12866722245</v>
      </c>
      <c r="T65" s="19">
        <f t="shared" si="26"/>
        <v>1493627.058724475</v>
      </c>
      <c r="U65" s="19" t="e">
        <f t="shared" si="26"/>
        <v>#REF!</v>
      </c>
      <c r="V65" s="19" t="e">
        <f t="shared" si="26"/>
        <v>#REF!</v>
      </c>
      <c r="W65" s="19" t="e">
        <f t="shared" si="26"/>
        <v>#REF!</v>
      </c>
      <c r="X65" s="19" t="e">
        <f t="shared" si="26"/>
        <v>#REF!</v>
      </c>
      <c r="Y65" s="19">
        <f t="shared" si="26"/>
        <v>316600.3960926165</v>
      </c>
      <c r="Z65" s="19">
        <f t="shared" si="26"/>
        <v>166941.22168544334</v>
      </c>
      <c r="AA65" s="70">
        <f>SUM(AA6:AA64)</f>
        <v>5723284.823400003</v>
      </c>
      <c r="AB65" s="70">
        <f>SUM(AB6:AB64)</f>
        <v>1603203.8099999998</v>
      </c>
      <c r="AC65" s="70">
        <f>SUM(AC6:AC64)</f>
        <v>7326488.633399999</v>
      </c>
      <c r="AD65" s="20" t="e">
        <f>SUM(AD6:AD64)</f>
        <v>#REF!</v>
      </c>
      <c r="AE65" s="20">
        <f>SUM(AE6:AE64)</f>
        <v>180283.78</v>
      </c>
      <c r="AF65" s="75">
        <f aca="true" t="shared" si="27" ref="AF65:AM65">SUM(AF6:AF64)</f>
        <v>508822.15156809386</v>
      </c>
      <c r="AG65" s="75">
        <f t="shared" si="27"/>
        <v>1474120.096795504</v>
      </c>
      <c r="AH65" s="75" t="e">
        <f t="shared" si="27"/>
        <v>#REF!</v>
      </c>
      <c r="AI65" s="75" t="e">
        <f t="shared" si="27"/>
        <v>#REF!</v>
      </c>
      <c r="AJ65" s="75" t="e">
        <f t="shared" si="27"/>
        <v>#REF!</v>
      </c>
      <c r="AK65" s="75" t="e">
        <f t="shared" si="27"/>
        <v>#REF!</v>
      </c>
      <c r="AL65" s="75">
        <f t="shared" si="27"/>
        <v>313805.3107345402</v>
      </c>
      <c r="AM65" s="75">
        <f t="shared" si="27"/>
        <v>164337.04597757958</v>
      </c>
      <c r="AN65" s="76">
        <f>SUM(AN9:AN64)+AN8+AN7+AN6</f>
        <v>5649937.480000002</v>
      </c>
      <c r="AO65" s="76">
        <f>SUM(AO9:AO64)+AO8+AO7+AO6</f>
        <v>1531253.3699999996</v>
      </c>
      <c r="AP65" s="76">
        <f>SUM(AP9:AP64)+AP8+AP7+AP6</f>
        <v>7181190.850000001</v>
      </c>
      <c r="AQ65" s="74">
        <f aca="true" t="shared" si="28" ref="AQ65:AZ65">SUM(AQ6:AQ64)</f>
        <v>2268106.9</v>
      </c>
      <c r="AR65" s="74">
        <f t="shared" si="28"/>
        <v>180283.78</v>
      </c>
      <c r="AS65" s="74">
        <f t="shared" si="28"/>
        <v>469313.630210566</v>
      </c>
      <c r="AT65" s="72">
        <f t="shared" si="28"/>
        <v>1422501.9606899763</v>
      </c>
      <c r="AU65" s="72" t="e">
        <f t="shared" si="28"/>
        <v>#REF!</v>
      </c>
      <c r="AV65" s="72" t="e">
        <f t="shared" si="28"/>
        <v>#REF!</v>
      </c>
      <c r="AW65" s="72" t="e">
        <f t="shared" si="28"/>
        <v>#REF!</v>
      </c>
      <c r="AX65" s="71" t="e">
        <f t="shared" si="28"/>
        <v>#REF!</v>
      </c>
      <c r="AY65" s="72">
        <f t="shared" si="28"/>
        <v>301524.1867548729</v>
      </c>
      <c r="AZ65" s="72">
        <f t="shared" si="28"/>
        <v>158991.63970042218</v>
      </c>
      <c r="BA65" s="73" t="e">
        <f>SUM(BA6:BA64)</f>
        <v>#REF!</v>
      </c>
      <c r="BB65" s="73">
        <f>SUM(BB6:BB64)</f>
        <v>1546680.614285714</v>
      </c>
      <c r="BC65" s="73" t="e">
        <f>SUM(BC6:BC64)</f>
        <v>#REF!</v>
      </c>
    </row>
    <row r="66" spans="17:55" ht="12.75">
      <c r="Q66" s="57"/>
      <c r="T66" s="57"/>
      <c r="U66" s="57"/>
      <c r="V66" s="57"/>
      <c r="AA66" s="57"/>
      <c r="AC66" s="65">
        <f>AA65+AB65</f>
        <v>7326488.6334000025</v>
      </c>
      <c r="AE66" s="54"/>
      <c r="AF66" s="54"/>
      <c r="AG66" s="54"/>
      <c r="AH66" s="54"/>
      <c r="AI66" s="54"/>
      <c r="AJ66" s="54"/>
      <c r="AK66" s="54"/>
      <c r="AL66" s="54"/>
      <c r="AM66" s="54"/>
      <c r="AN66" s="72"/>
      <c r="AP66" s="17">
        <f>AN65+AO65</f>
        <v>7181190.8500000015</v>
      </c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72" t="e">
        <f>SUM(AQ65:AZ65)</f>
        <v>#REF!</v>
      </c>
      <c r="BC66" s="17" t="e">
        <f>BA65+BB65</f>
        <v>#REF!</v>
      </c>
    </row>
    <row r="67" spans="29:56" ht="12.75">
      <c r="AC67" s="18" t="s">
        <v>62</v>
      </c>
      <c r="AN67" s="17"/>
      <c r="AP67" t="s">
        <v>160</v>
      </c>
      <c r="AY67" s="71"/>
      <c r="BC67">
        <v>7577.8</v>
      </c>
      <c r="BD67" t="s">
        <v>163</v>
      </c>
    </row>
    <row r="68" spans="14:40" ht="12.75">
      <c r="N68" t="s">
        <v>111</v>
      </c>
      <c r="O68" t="s">
        <v>112</v>
      </c>
      <c r="W68" s="57"/>
      <c r="AN68" s="78"/>
    </row>
    <row r="69" spans="1:40" ht="12.75">
      <c r="A69" t="s">
        <v>85</v>
      </c>
      <c r="D69">
        <v>13.11</v>
      </c>
      <c r="N69" t="s">
        <v>105</v>
      </c>
      <c r="O69" t="s">
        <v>106</v>
      </c>
      <c r="AC69">
        <v>6810.3</v>
      </c>
      <c r="AN69" s="38"/>
    </row>
    <row r="70" spans="1:18" ht="12.75">
      <c r="A70" t="s">
        <v>86</v>
      </c>
      <c r="D70" s="17">
        <v>15.06</v>
      </c>
      <c r="N70" t="s">
        <v>107</v>
      </c>
      <c r="R70">
        <v>39281.73</v>
      </c>
    </row>
    <row r="71" spans="1:41" ht="12.75">
      <c r="A71" t="s">
        <v>87</v>
      </c>
      <c r="D71">
        <v>24.74</v>
      </c>
      <c r="N71" t="s">
        <v>109</v>
      </c>
      <c r="R71">
        <v>131824.99</v>
      </c>
      <c r="AN71">
        <f>AN65/10*12</f>
        <v>6779924.9760000035</v>
      </c>
      <c r="AO71" t="s">
        <v>67</v>
      </c>
    </row>
    <row r="72" spans="14:18" ht="12.75">
      <c r="N72" t="s">
        <v>108</v>
      </c>
      <c r="R72">
        <v>4421.62</v>
      </c>
    </row>
    <row r="73" spans="14:18" ht="12.75">
      <c r="N73" t="s">
        <v>110</v>
      </c>
      <c r="R73">
        <v>114550</v>
      </c>
    </row>
    <row r="74" ht="12.75">
      <c r="R74">
        <f>SUM(R70:R73)</f>
        <v>290078.33999999997</v>
      </c>
    </row>
  </sheetData>
  <sheetProtection/>
  <mergeCells count="24">
    <mergeCell ref="B35:B37"/>
    <mergeCell ref="C35:C37"/>
    <mergeCell ref="D35:M36"/>
    <mergeCell ref="O35:O37"/>
    <mergeCell ref="AD3:BB3"/>
    <mergeCell ref="BD3:BD5"/>
    <mergeCell ref="AD4:AN4"/>
    <mergeCell ref="AO4:AO5"/>
    <mergeCell ref="AQ4:BA4"/>
    <mergeCell ref="BB4:BB5"/>
    <mergeCell ref="Q3:Z4"/>
    <mergeCell ref="AB3:AB5"/>
    <mergeCell ref="B3:B5"/>
    <mergeCell ref="C3:C5"/>
    <mergeCell ref="D3:M4"/>
    <mergeCell ref="O3:O5"/>
    <mergeCell ref="Q35:Z36"/>
    <mergeCell ref="AB35:AB37"/>
    <mergeCell ref="AD35:BB35"/>
    <mergeCell ref="BD35:BD37"/>
    <mergeCell ref="AD36:AN36"/>
    <mergeCell ref="AO36:AO37"/>
    <mergeCell ref="AQ36:BA36"/>
    <mergeCell ref="BB36:BB37"/>
  </mergeCells>
  <printOptions/>
  <pageMargins left="0.75" right="0.75" top="1" bottom="1" header="0.5" footer="0.5"/>
  <pageSetup horizontalDpi="600" verticalDpi="600" orientation="landscape" pageOrder="overThenDown" paperSize="9" scale="75" r:id="rId1"/>
  <rowBreaks count="1" manualBreakCount="1">
    <brk id="34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75"/>
  <sheetViews>
    <sheetView zoomScaleSheetLayoutView="100" zoomScalePageLayoutView="0" workbookViewId="0" topLeftCell="A1">
      <pane xSplit="3" ySplit="5" topLeftCell="Y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H6" sqref="AH6"/>
    </sheetView>
  </sheetViews>
  <sheetFormatPr defaultColWidth="9.00390625" defaultRowHeight="12.75"/>
  <cols>
    <col min="1" max="1" width="4.375" style="0" customWidth="1"/>
    <col min="2" max="2" width="15.375" style="0" customWidth="1"/>
    <col min="3" max="3" width="8.375" style="0" customWidth="1"/>
    <col min="4" max="4" width="7.00390625" style="0" customWidth="1"/>
    <col min="5" max="5" width="6.50390625" style="0" customWidth="1"/>
    <col min="6" max="6" width="6.375" style="0" customWidth="1"/>
    <col min="7" max="7" width="7.00390625" style="0" customWidth="1"/>
    <col min="8" max="8" width="5.625" style="0" customWidth="1"/>
    <col min="9" max="10" width="6.50390625" style="0" customWidth="1"/>
    <col min="12" max="12" width="7.50390625" style="0" customWidth="1"/>
    <col min="15" max="15" width="11.875" style="0" customWidth="1"/>
    <col min="19" max="19" width="9.50390625" style="0" bestFit="1" customWidth="1"/>
    <col min="22" max="23" width="9.50390625" style="0" bestFit="1" customWidth="1"/>
    <col min="24" max="25" width="11.00390625" style="0" customWidth="1"/>
    <col min="26" max="26" width="10.50390625" style="0" customWidth="1"/>
    <col min="27" max="27" width="9.875" style="0" customWidth="1"/>
    <col min="28" max="28" width="8.375" style="0" customWidth="1"/>
    <col min="29" max="29" width="8.50390625" style="0" customWidth="1"/>
    <col min="30" max="30" width="8.375" style="0" customWidth="1"/>
    <col min="31" max="31" width="8.50390625" style="0" customWidth="1"/>
    <col min="32" max="32" width="8.125" style="0" customWidth="1"/>
    <col min="34" max="34" width="11.00390625" style="0" customWidth="1"/>
    <col min="35" max="35" width="10.00390625" style="0" bestFit="1" customWidth="1"/>
    <col min="36" max="36" width="10.00390625" style="0" customWidth="1"/>
    <col min="37" max="37" width="11.00390625" style="0" customWidth="1"/>
    <col min="38" max="38" width="7.125" style="0" customWidth="1"/>
    <col min="39" max="39" width="10.875" style="0" customWidth="1"/>
    <col min="40" max="40" width="8.375" style="0" customWidth="1"/>
    <col min="41" max="41" width="8.00390625" style="0" customWidth="1"/>
    <col min="42" max="42" width="8.875" style="0" customWidth="1"/>
    <col min="43" max="43" width="8.125" style="0" customWidth="1"/>
    <col min="44" max="44" width="9.625" style="0" customWidth="1"/>
    <col min="45" max="45" width="10.625" style="0" customWidth="1"/>
    <col min="46" max="47" width="10.50390625" style="0" customWidth="1"/>
    <col min="48" max="48" width="13.875" style="0" customWidth="1"/>
  </cols>
  <sheetData>
    <row r="1" spans="1:48" ht="17.25">
      <c r="A1" s="94"/>
      <c r="B1" s="1"/>
      <c r="C1" s="94" t="s">
        <v>235</v>
      </c>
      <c r="D1" s="94"/>
      <c r="E1" s="94"/>
      <c r="F1" s="94"/>
      <c r="G1" s="94"/>
      <c r="H1" s="94"/>
      <c r="I1" s="9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"/>
      <c r="W1" s="7"/>
      <c r="X1" s="7"/>
      <c r="Y1" s="7"/>
      <c r="Z1" s="7"/>
      <c r="AA1" s="7"/>
      <c r="AB1" s="95"/>
      <c r="AC1" s="95"/>
      <c r="AD1" s="95"/>
      <c r="AE1" s="95"/>
      <c r="AF1" s="95"/>
      <c r="AG1" s="95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94"/>
    </row>
    <row r="2" spans="2:47" ht="15">
      <c r="B2" s="2"/>
      <c r="C2" s="2"/>
      <c r="D2" s="2"/>
      <c r="E2" s="2"/>
      <c r="F2" s="2"/>
      <c r="G2" s="116" t="s">
        <v>206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96"/>
      <c r="AD2" s="96"/>
      <c r="AE2" s="96"/>
      <c r="AF2" s="96"/>
      <c r="AG2" s="96"/>
      <c r="AH2" s="2"/>
      <c r="AI2" s="2"/>
      <c r="AJ2" s="2"/>
      <c r="AK2" s="2" t="s">
        <v>61</v>
      </c>
      <c r="AL2" s="2"/>
      <c r="AM2" s="2"/>
      <c r="AN2" s="2"/>
      <c r="AO2" s="2"/>
      <c r="AP2" s="2"/>
      <c r="AQ2" s="2"/>
      <c r="AR2" s="2"/>
      <c r="AS2" s="2"/>
      <c r="AT2" s="6" t="s">
        <v>7</v>
      </c>
      <c r="AU2" s="6"/>
    </row>
    <row r="3" spans="1:48" ht="12.75" customHeight="1">
      <c r="A3" s="23"/>
      <c r="B3" s="224" t="s">
        <v>0</v>
      </c>
      <c r="C3" s="231" t="s">
        <v>1</v>
      </c>
      <c r="D3" s="232" t="s">
        <v>8</v>
      </c>
      <c r="E3" s="233"/>
      <c r="F3" s="233"/>
      <c r="G3" s="233"/>
      <c r="H3" s="233"/>
      <c r="I3" s="233"/>
      <c r="J3" s="233"/>
      <c r="K3" s="234"/>
      <c r="L3" s="62"/>
      <c r="M3" s="237" t="s">
        <v>5</v>
      </c>
      <c r="N3" s="166"/>
      <c r="O3" s="224" t="s">
        <v>81</v>
      </c>
      <c r="P3" s="224"/>
      <c r="Q3" s="224"/>
      <c r="R3" s="224"/>
      <c r="S3" s="224"/>
      <c r="T3" s="224"/>
      <c r="U3" s="224"/>
      <c r="V3" s="224"/>
      <c r="W3" s="4"/>
      <c r="X3" s="241" t="s">
        <v>5</v>
      </c>
      <c r="Y3" s="197"/>
      <c r="Z3" s="230" t="s">
        <v>207</v>
      </c>
      <c r="AA3" s="230"/>
      <c r="AB3" s="240"/>
      <c r="AC3" s="240"/>
      <c r="AD3" s="240"/>
      <c r="AE3" s="240"/>
      <c r="AF3" s="240"/>
      <c r="AG3" s="24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5"/>
      <c r="AV3" s="224" t="s">
        <v>0</v>
      </c>
    </row>
    <row r="4" spans="1:48" ht="12.75">
      <c r="A4" s="25"/>
      <c r="B4" s="230"/>
      <c r="C4" s="231"/>
      <c r="D4" s="235"/>
      <c r="E4" s="236"/>
      <c r="F4" s="236"/>
      <c r="G4" s="236"/>
      <c r="H4" s="236"/>
      <c r="I4" s="236"/>
      <c r="J4" s="236"/>
      <c r="K4" s="236"/>
      <c r="L4" s="63"/>
      <c r="M4" s="229"/>
      <c r="N4" s="165"/>
      <c r="O4" s="224"/>
      <c r="P4" s="224"/>
      <c r="Q4" s="224"/>
      <c r="R4" s="224"/>
      <c r="S4" s="224"/>
      <c r="T4" s="224"/>
      <c r="U4" s="224"/>
      <c r="V4" s="224"/>
      <c r="W4" s="4"/>
      <c r="X4" s="242"/>
      <c r="Y4" s="18"/>
      <c r="Z4" s="230" t="s">
        <v>82</v>
      </c>
      <c r="AA4" s="230"/>
      <c r="AB4" s="230"/>
      <c r="AC4" s="230"/>
      <c r="AD4" s="230"/>
      <c r="AE4" s="230"/>
      <c r="AF4" s="230"/>
      <c r="AG4" s="230"/>
      <c r="AH4" s="230"/>
      <c r="AI4" s="244" t="s">
        <v>5</v>
      </c>
      <c r="AJ4" s="156"/>
      <c r="AK4" s="230" t="s">
        <v>4</v>
      </c>
      <c r="AL4" s="230"/>
      <c r="AM4" s="230"/>
      <c r="AN4" s="230"/>
      <c r="AO4" s="230"/>
      <c r="AP4" s="230"/>
      <c r="AQ4" s="230"/>
      <c r="AR4" s="230"/>
      <c r="AS4" s="230"/>
      <c r="AT4" s="224" t="s">
        <v>5</v>
      </c>
      <c r="AU4" s="4"/>
      <c r="AV4" s="230"/>
    </row>
    <row r="5" spans="1:48" ht="92.25">
      <c r="A5" s="24" t="s">
        <v>65</v>
      </c>
      <c r="B5" s="230"/>
      <c r="C5" s="224"/>
      <c r="D5" s="83" t="s">
        <v>89</v>
      </c>
      <c r="E5" s="84" t="s">
        <v>84</v>
      </c>
      <c r="F5" s="84" t="s">
        <v>90</v>
      </c>
      <c r="G5" s="84" t="s">
        <v>91</v>
      </c>
      <c r="H5" s="84" t="s">
        <v>92</v>
      </c>
      <c r="I5" s="84" t="s">
        <v>93</v>
      </c>
      <c r="J5" s="84" t="s">
        <v>83</v>
      </c>
      <c r="K5" s="84" t="s">
        <v>94</v>
      </c>
      <c r="L5" s="85" t="s">
        <v>70</v>
      </c>
      <c r="M5" s="230"/>
      <c r="N5" s="143" t="s">
        <v>136</v>
      </c>
      <c r="O5" s="83" t="s">
        <v>89</v>
      </c>
      <c r="P5" s="84" t="s">
        <v>84</v>
      </c>
      <c r="Q5" s="84" t="s">
        <v>90</v>
      </c>
      <c r="R5" s="84" t="s">
        <v>91</v>
      </c>
      <c r="S5" s="84" t="s">
        <v>92</v>
      </c>
      <c r="T5" s="84" t="s">
        <v>93</v>
      </c>
      <c r="U5" s="84" t="s">
        <v>83</v>
      </c>
      <c r="V5" s="84" t="s">
        <v>94</v>
      </c>
      <c r="W5" s="85" t="s">
        <v>70</v>
      </c>
      <c r="X5" s="243"/>
      <c r="Y5" s="143" t="s">
        <v>136</v>
      </c>
      <c r="Z5" s="83" t="s">
        <v>89</v>
      </c>
      <c r="AA5" s="84" t="s">
        <v>84</v>
      </c>
      <c r="AB5" s="84" t="s">
        <v>90</v>
      </c>
      <c r="AC5" s="84" t="s">
        <v>91</v>
      </c>
      <c r="AD5" s="84" t="s">
        <v>92</v>
      </c>
      <c r="AE5" s="84" t="s">
        <v>93</v>
      </c>
      <c r="AF5" s="84" t="s">
        <v>83</v>
      </c>
      <c r="AG5" s="84" t="s">
        <v>94</v>
      </c>
      <c r="AH5" s="191" t="s">
        <v>70</v>
      </c>
      <c r="AI5" s="244"/>
      <c r="AJ5" s="143" t="s">
        <v>136</v>
      </c>
      <c r="AK5" s="83" t="s">
        <v>89</v>
      </c>
      <c r="AL5" s="84" t="s">
        <v>84</v>
      </c>
      <c r="AM5" s="84" t="s">
        <v>90</v>
      </c>
      <c r="AN5" s="84" t="s">
        <v>91</v>
      </c>
      <c r="AO5" s="84" t="s">
        <v>92</v>
      </c>
      <c r="AP5" s="84" t="s">
        <v>93</v>
      </c>
      <c r="AQ5" s="84" t="s">
        <v>83</v>
      </c>
      <c r="AR5" s="84" t="s">
        <v>94</v>
      </c>
      <c r="AS5" s="85" t="s">
        <v>70</v>
      </c>
      <c r="AT5" s="224"/>
      <c r="AU5" s="143" t="s">
        <v>136</v>
      </c>
      <c r="AV5" s="230"/>
    </row>
    <row r="6" spans="1:48" ht="21" customHeight="1">
      <c r="A6" s="26">
        <v>1</v>
      </c>
      <c r="B6" s="9" t="s">
        <v>10</v>
      </c>
      <c r="C6" s="11">
        <v>846.55</v>
      </c>
      <c r="D6" s="87">
        <f>L6-E6-F6-G6-H6-I6-J6-K6</f>
        <v>5.8</v>
      </c>
      <c r="E6" s="87">
        <v>0.39</v>
      </c>
      <c r="F6" s="87"/>
      <c r="G6" s="87">
        <v>3.72</v>
      </c>
      <c r="H6" s="87">
        <v>1.08</v>
      </c>
      <c r="I6" s="87">
        <v>0.78</v>
      </c>
      <c r="J6" s="87">
        <v>0.87</v>
      </c>
      <c r="K6" s="87">
        <v>0.39</v>
      </c>
      <c r="L6" s="109">
        <f aca="true" t="shared" si="0" ref="L6:L11">N6-M6</f>
        <v>13.030000000000001</v>
      </c>
      <c r="M6" s="5">
        <v>3.75</v>
      </c>
      <c r="N6" s="196">
        <v>16.78</v>
      </c>
      <c r="O6" s="13">
        <f>W6-V6-U6-T6-S6-R6-Q6-P6</f>
        <v>29459.937</v>
      </c>
      <c r="P6" s="13">
        <v>1980.93</v>
      </c>
      <c r="Q6" s="13">
        <f>F6*C6*6</f>
        <v>0</v>
      </c>
      <c r="R6" s="13">
        <f>W6/L6*G6</f>
        <v>18894.996000000003</v>
      </c>
      <c r="S6" s="13">
        <f aca="true" t="shared" si="1" ref="S6:S35">W6/L6*H6</f>
        <v>5485.644</v>
      </c>
      <c r="T6" s="13">
        <f aca="true" t="shared" si="2" ref="T6:T35">W6/L6*I6</f>
        <v>3961.8540000000003</v>
      </c>
      <c r="U6" s="13">
        <f aca="true" t="shared" si="3" ref="U6:U35">W6/L6*J6</f>
        <v>4418.991</v>
      </c>
      <c r="V6" s="13">
        <f aca="true" t="shared" si="4" ref="V6:V35">W6/L6*K6</f>
        <v>1980.9270000000001</v>
      </c>
      <c r="W6" s="113">
        <f aca="true" t="shared" si="5" ref="W6:W35">C6*L6*6</f>
        <v>66183.27900000001</v>
      </c>
      <c r="X6" s="113">
        <f aca="true" t="shared" si="6" ref="X6:X35">M6*C6*6</f>
        <v>19047.375</v>
      </c>
      <c r="Y6" s="43">
        <v>85250.88</v>
      </c>
      <c r="Z6" s="15">
        <f>AH6-AG6-AF6-AE6-AD6-AC6-AB6-AA6</f>
        <v>30818.59021872603</v>
      </c>
      <c r="AA6" s="13">
        <v>1980.93</v>
      </c>
      <c r="AB6" s="13">
        <f>Q6*M6*6</f>
        <v>0</v>
      </c>
      <c r="AC6" s="13">
        <f>AH6/L6*G6</f>
        <v>19711.504881043747</v>
      </c>
      <c r="AD6" s="13">
        <f aca="true" t="shared" si="7" ref="AD6:AD35">AH6/L6*H6</f>
        <v>5722.694965464313</v>
      </c>
      <c r="AE6" s="13">
        <f aca="true" t="shared" si="8" ref="AE6:AE35">AH6/L6*I6</f>
        <v>4133.05747505756</v>
      </c>
      <c r="AF6" s="13">
        <f aca="true" t="shared" si="9" ref="AF6:AF35">AH6/L6*J6</f>
        <v>4609.948722179585</v>
      </c>
      <c r="AG6" s="13">
        <f aca="true" t="shared" si="10" ref="AG6:AG35">AH6/L6*K6</f>
        <v>2066.52873752878</v>
      </c>
      <c r="AH6" s="155">
        <f>AJ6-AI6</f>
        <v>69043.255</v>
      </c>
      <c r="AI6" s="113">
        <f>X6</f>
        <v>19047.375</v>
      </c>
      <c r="AJ6" s="43">
        <v>88090.63</v>
      </c>
      <c r="AK6" s="21">
        <v>87744</v>
      </c>
      <c r="AL6" s="13">
        <v>1980.93</v>
      </c>
      <c r="AM6" s="21">
        <f aca="true" t="shared" si="11" ref="AM6:AM31">Q6/1.05</f>
        <v>0</v>
      </c>
      <c r="AN6" s="21">
        <f>R6/1.05</f>
        <v>17995.234285714287</v>
      </c>
      <c r="AO6" s="21">
        <f aca="true" t="shared" si="12" ref="AO6:AO35">S6/1.05</f>
        <v>5224.4228571428575</v>
      </c>
      <c r="AP6" s="21">
        <f aca="true" t="shared" si="13" ref="AP6:AP35">T6/1.05</f>
        <v>3773.194285714286</v>
      </c>
      <c r="AQ6" s="21">
        <f aca="true" t="shared" si="14" ref="AQ6:AQ35">U6/1.05</f>
        <v>4208.562857142857</v>
      </c>
      <c r="AR6" s="21">
        <f aca="true" t="shared" si="15" ref="AR6:AR35">V6/1.05</f>
        <v>1886.597142857143</v>
      </c>
      <c r="AS6" s="22">
        <f aca="true" t="shared" si="16" ref="AS6:AS35">SUM(AK6:AR6)</f>
        <v>122812.94142857142</v>
      </c>
      <c r="AT6" s="21">
        <f>X6</f>
        <v>19047.375</v>
      </c>
      <c r="AU6" s="21">
        <f>AS6+AT6</f>
        <v>141860.31642857142</v>
      </c>
      <c r="AV6" s="9" t="s">
        <v>10</v>
      </c>
    </row>
    <row r="7" spans="1:48" ht="21" customHeight="1" thickBot="1">
      <c r="A7" s="26">
        <v>2</v>
      </c>
      <c r="B7" s="9" t="s">
        <v>11</v>
      </c>
      <c r="C7" s="11">
        <v>1040.08</v>
      </c>
      <c r="D7" s="87">
        <f aca="true" t="shared" si="17" ref="D7:D35">L7-E7-F7-G7-H7-I7-J7-K7</f>
        <v>5.38</v>
      </c>
      <c r="E7" s="87">
        <v>0.81</v>
      </c>
      <c r="F7" s="88"/>
      <c r="G7" s="87">
        <v>3.72</v>
      </c>
      <c r="H7" s="87">
        <v>1.08</v>
      </c>
      <c r="I7" s="87">
        <v>0.78</v>
      </c>
      <c r="J7" s="87">
        <v>0.87</v>
      </c>
      <c r="K7" s="87">
        <v>0.39</v>
      </c>
      <c r="L7" s="109">
        <f t="shared" si="0"/>
        <v>13.030000000000001</v>
      </c>
      <c r="M7" s="5">
        <v>3.75</v>
      </c>
      <c r="N7" s="196">
        <v>16.78</v>
      </c>
      <c r="O7" s="13">
        <f aca="true" t="shared" si="18" ref="O7:O35">W7-V7-U7-T7-S7-R7-Q7-P7</f>
        <v>33909.701199999996</v>
      </c>
      <c r="P7" s="13">
        <v>4718.87</v>
      </c>
      <c r="Q7" s="13">
        <f>F7*C7*6</f>
        <v>0</v>
      </c>
      <c r="R7" s="13">
        <f aca="true" t="shared" si="19" ref="R7:R35">W7/L7*G7</f>
        <v>23214.5856</v>
      </c>
      <c r="S7" s="13">
        <f t="shared" si="1"/>
        <v>6739.7184</v>
      </c>
      <c r="T7" s="13">
        <f t="shared" si="2"/>
        <v>4867.5743999999995</v>
      </c>
      <c r="U7" s="13">
        <f t="shared" si="3"/>
        <v>5429.2176</v>
      </c>
      <c r="V7" s="13">
        <f t="shared" si="4"/>
        <v>2433.7871999999998</v>
      </c>
      <c r="W7" s="113">
        <f t="shared" si="5"/>
        <v>81313.4544</v>
      </c>
      <c r="X7" s="113">
        <f t="shared" si="6"/>
        <v>23401.8</v>
      </c>
      <c r="Y7" s="43">
        <v>104808.07</v>
      </c>
      <c r="Z7" s="15">
        <f aca="true" t="shared" si="20" ref="Z7:Z35">AH7-AG7-AF7-AE7-AD7-AC7-AB7-AA7</f>
        <v>26422.297912509595</v>
      </c>
      <c r="AA7" s="13">
        <v>4718.87</v>
      </c>
      <c r="AB7" s="13">
        <f>Q7*M7*6</f>
        <v>0</v>
      </c>
      <c r="AC7" s="13">
        <f aca="true" t="shared" si="21" ref="AC7:AC35">AH7/L7*G7</f>
        <v>18714.886047582502</v>
      </c>
      <c r="AD7" s="13">
        <f t="shared" si="7"/>
        <v>5433.354013814275</v>
      </c>
      <c r="AE7" s="13">
        <f t="shared" si="8"/>
        <v>3924.0890099769763</v>
      </c>
      <c r="AF7" s="13">
        <f t="shared" si="9"/>
        <v>4376.868511128166</v>
      </c>
      <c r="AG7" s="13">
        <f t="shared" si="10"/>
        <v>1962.0445049884881</v>
      </c>
      <c r="AH7" s="155">
        <f aca="true" t="shared" si="22" ref="AH7:AH35">AJ7-AI7</f>
        <v>65552.41</v>
      </c>
      <c r="AI7" s="113">
        <f aca="true" t="shared" si="23" ref="AI7:AI35">X7</f>
        <v>23401.8</v>
      </c>
      <c r="AJ7" s="43">
        <v>88954.21</v>
      </c>
      <c r="AK7" s="21">
        <v>2193.7</v>
      </c>
      <c r="AL7" s="13">
        <v>4718.87</v>
      </c>
      <c r="AM7" s="21">
        <f t="shared" si="11"/>
        <v>0</v>
      </c>
      <c r="AN7" s="21">
        <f aca="true" t="shared" si="24" ref="AN7:AN35">R7/1.05</f>
        <v>22109.129142857142</v>
      </c>
      <c r="AO7" s="21">
        <f t="shared" si="12"/>
        <v>6418.779428571428</v>
      </c>
      <c r="AP7" s="21">
        <f t="shared" si="13"/>
        <v>4635.785142857142</v>
      </c>
      <c r="AQ7" s="21">
        <f t="shared" si="14"/>
        <v>5170.6834285714285</v>
      </c>
      <c r="AR7" s="21">
        <f t="shared" si="15"/>
        <v>2317.892571428571</v>
      </c>
      <c r="AS7" s="22">
        <f t="shared" si="16"/>
        <v>47564.839714285714</v>
      </c>
      <c r="AT7" s="21">
        <f aca="true" t="shared" si="25" ref="AT7:AT35">X7</f>
        <v>23401.8</v>
      </c>
      <c r="AU7" s="21">
        <f aca="true" t="shared" si="26" ref="AU7:AU35">AS7+AT7</f>
        <v>70966.63971428572</v>
      </c>
      <c r="AV7" s="9" t="s">
        <v>11</v>
      </c>
    </row>
    <row r="8" spans="1:48" ht="21" customHeight="1">
      <c r="A8" s="26">
        <v>3</v>
      </c>
      <c r="B8" s="33" t="s">
        <v>12</v>
      </c>
      <c r="C8" s="34">
        <v>739.2</v>
      </c>
      <c r="D8" s="87">
        <f t="shared" si="17"/>
        <v>0.7799999999999981</v>
      </c>
      <c r="E8" s="171">
        <v>0.39</v>
      </c>
      <c r="F8" s="175">
        <v>7.55</v>
      </c>
      <c r="G8" s="87">
        <v>3.72</v>
      </c>
      <c r="H8" s="171">
        <v>1.08</v>
      </c>
      <c r="I8" s="87">
        <v>0.78</v>
      </c>
      <c r="J8" s="87">
        <v>0.87</v>
      </c>
      <c r="K8" s="87">
        <v>0.39</v>
      </c>
      <c r="L8" s="109">
        <f t="shared" si="0"/>
        <v>15.559999999999999</v>
      </c>
      <c r="M8" s="174">
        <v>3.75</v>
      </c>
      <c r="N8" s="196">
        <v>19.31</v>
      </c>
      <c r="O8" s="13">
        <f t="shared" si="18"/>
        <v>3459.453999999994</v>
      </c>
      <c r="P8" s="36">
        <v>1729.73</v>
      </c>
      <c r="Q8" s="36">
        <f>W8/15.56*7.55</f>
        <v>33485.759999999995</v>
      </c>
      <c r="R8" s="13">
        <f t="shared" si="19"/>
        <v>16498.944000000003</v>
      </c>
      <c r="S8" s="13">
        <f t="shared" si="1"/>
        <v>4790.016000000001</v>
      </c>
      <c r="T8" s="13">
        <f t="shared" si="2"/>
        <v>3459.4560000000006</v>
      </c>
      <c r="U8" s="13">
        <f t="shared" si="3"/>
        <v>3858.6240000000007</v>
      </c>
      <c r="V8" s="13">
        <f t="shared" si="4"/>
        <v>1729.7280000000003</v>
      </c>
      <c r="W8" s="113">
        <f t="shared" si="5"/>
        <v>69011.712</v>
      </c>
      <c r="X8" s="113">
        <f t="shared" si="6"/>
        <v>16632</v>
      </c>
      <c r="Y8" s="43">
        <v>85643.7</v>
      </c>
      <c r="Z8" s="15">
        <f t="shared" si="20"/>
        <v>3913.046156812324</v>
      </c>
      <c r="AA8" s="36">
        <v>1729.73</v>
      </c>
      <c r="AB8" s="36">
        <f>AH8/15.56*7.55</f>
        <v>36412.78631105399</v>
      </c>
      <c r="AC8" s="13">
        <f t="shared" si="21"/>
        <v>17941.134447300774</v>
      </c>
      <c r="AD8" s="13">
        <f t="shared" si="7"/>
        <v>5208.7164524421605</v>
      </c>
      <c r="AE8" s="13">
        <f t="shared" si="8"/>
        <v>3761.850771208227</v>
      </c>
      <c r="AF8" s="13">
        <f t="shared" si="9"/>
        <v>4195.9104755784065</v>
      </c>
      <c r="AG8" s="13">
        <f t="shared" si="10"/>
        <v>1880.9253856041134</v>
      </c>
      <c r="AH8" s="155">
        <f t="shared" si="22"/>
        <v>75044.1</v>
      </c>
      <c r="AI8" s="113">
        <f t="shared" si="23"/>
        <v>16632</v>
      </c>
      <c r="AJ8" s="43">
        <v>91676.1</v>
      </c>
      <c r="AK8" s="66">
        <v>0</v>
      </c>
      <c r="AL8" s="36">
        <v>1729.73</v>
      </c>
      <c r="AM8" s="66">
        <f>Q8</f>
        <v>33485.759999999995</v>
      </c>
      <c r="AN8" s="21">
        <f t="shared" si="24"/>
        <v>15713.280000000002</v>
      </c>
      <c r="AO8" s="21">
        <f t="shared" si="12"/>
        <v>4561.920000000001</v>
      </c>
      <c r="AP8" s="21">
        <f t="shared" si="13"/>
        <v>3294.7200000000003</v>
      </c>
      <c r="AQ8" s="21">
        <f t="shared" si="14"/>
        <v>3674.8800000000006</v>
      </c>
      <c r="AR8" s="21">
        <f t="shared" si="15"/>
        <v>1647.3600000000001</v>
      </c>
      <c r="AS8" s="67">
        <f t="shared" si="16"/>
        <v>64107.65</v>
      </c>
      <c r="AT8" s="21">
        <f t="shared" si="25"/>
        <v>16632</v>
      </c>
      <c r="AU8" s="21">
        <f t="shared" si="26"/>
        <v>80739.65</v>
      </c>
      <c r="AV8" s="33" t="s">
        <v>12</v>
      </c>
    </row>
    <row r="9" spans="1:48" ht="21" customHeight="1" thickBot="1">
      <c r="A9" s="26">
        <v>4</v>
      </c>
      <c r="B9" s="33" t="s">
        <v>63</v>
      </c>
      <c r="C9" s="37">
        <v>372</v>
      </c>
      <c r="D9" s="87">
        <f t="shared" si="17"/>
        <v>0.7799999999999981</v>
      </c>
      <c r="E9" s="171">
        <v>0.39</v>
      </c>
      <c r="F9" s="176">
        <v>7.55</v>
      </c>
      <c r="G9" s="87">
        <v>3.72</v>
      </c>
      <c r="H9" s="171">
        <v>1.08</v>
      </c>
      <c r="I9" s="87">
        <v>0.78</v>
      </c>
      <c r="J9" s="87">
        <v>0.87</v>
      </c>
      <c r="K9" s="87">
        <v>0.39</v>
      </c>
      <c r="L9" s="109">
        <f t="shared" si="0"/>
        <v>15.559999999999999</v>
      </c>
      <c r="M9" s="174">
        <v>3.75</v>
      </c>
      <c r="N9" s="196">
        <v>19.31</v>
      </c>
      <c r="O9" s="13">
        <f t="shared" si="18"/>
        <v>1740.959999999995</v>
      </c>
      <c r="P9" s="36">
        <v>870.48</v>
      </c>
      <c r="Q9" s="36">
        <f>W9/15.56*7.55</f>
        <v>16851.6</v>
      </c>
      <c r="R9" s="13">
        <f t="shared" si="19"/>
        <v>8303.04</v>
      </c>
      <c r="S9" s="13">
        <f t="shared" si="1"/>
        <v>2410.56</v>
      </c>
      <c r="T9" s="13">
        <f t="shared" si="2"/>
        <v>1740.96</v>
      </c>
      <c r="U9" s="13">
        <f t="shared" si="3"/>
        <v>1941.84</v>
      </c>
      <c r="V9" s="13">
        <f t="shared" si="4"/>
        <v>870.48</v>
      </c>
      <c r="W9" s="113">
        <f t="shared" si="5"/>
        <v>34729.92</v>
      </c>
      <c r="X9" s="113">
        <f t="shared" si="6"/>
        <v>8370</v>
      </c>
      <c r="Y9" s="43">
        <v>43099.92</v>
      </c>
      <c r="Z9" s="15">
        <f t="shared" si="20"/>
        <v>1735.2957262210798</v>
      </c>
      <c r="AA9" s="36">
        <v>870.48</v>
      </c>
      <c r="AB9" s="36">
        <f>AH9/15.56*7.55</f>
        <v>16815.04848971722</v>
      </c>
      <c r="AC9" s="13">
        <f t="shared" si="21"/>
        <v>8285.030514138816</v>
      </c>
      <c r="AD9" s="13">
        <f t="shared" si="7"/>
        <v>2405.3314395886887</v>
      </c>
      <c r="AE9" s="13">
        <f t="shared" si="8"/>
        <v>1737.1838174807197</v>
      </c>
      <c r="AF9" s="13">
        <f t="shared" si="9"/>
        <v>1937.6281041131103</v>
      </c>
      <c r="AG9" s="13">
        <f t="shared" si="10"/>
        <v>868.5919087403598</v>
      </c>
      <c r="AH9" s="155">
        <f>AJ9-AI9</f>
        <v>34654.59</v>
      </c>
      <c r="AI9" s="113">
        <f>X9</f>
        <v>8370</v>
      </c>
      <c r="AJ9" s="43">
        <v>43024.59</v>
      </c>
      <c r="AK9" s="66">
        <v>0</v>
      </c>
      <c r="AL9" s="36">
        <v>870.48</v>
      </c>
      <c r="AM9" s="66">
        <f>Q9</f>
        <v>16851.6</v>
      </c>
      <c r="AN9" s="21">
        <f t="shared" si="24"/>
        <v>7907.657142857143</v>
      </c>
      <c r="AO9" s="21">
        <f t="shared" si="12"/>
        <v>2295.7714285714283</v>
      </c>
      <c r="AP9" s="21">
        <f t="shared" si="13"/>
        <v>1658.057142857143</v>
      </c>
      <c r="AQ9" s="21">
        <f t="shared" si="14"/>
        <v>1849.3714285714284</v>
      </c>
      <c r="AR9" s="21">
        <f t="shared" si="15"/>
        <v>829.0285714285715</v>
      </c>
      <c r="AS9" s="67">
        <f t="shared" si="16"/>
        <v>32261.96571428571</v>
      </c>
      <c r="AT9" s="21">
        <f t="shared" si="25"/>
        <v>8370</v>
      </c>
      <c r="AU9" s="21">
        <f t="shared" si="26"/>
        <v>40631.96571428571</v>
      </c>
      <c r="AV9" s="33" t="s">
        <v>63</v>
      </c>
    </row>
    <row r="10" spans="1:48" ht="21" customHeight="1">
      <c r="A10" s="26">
        <v>5</v>
      </c>
      <c r="B10" s="9" t="s">
        <v>13</v>
      </c>
      <c r="C10" s="11">
        <v>563.35</v>
      </c>
      <c r="D10" s="87">
        <f t="shared" si="17"/>
        <v>5.590000000000001</v>
      </c>
      <c r="E10" s="87">
        <v>0.6</v>
      </c>
      <c r="F10" s="89"/>
      <c r="G10" s="87">
        <v>3.72</v>
      </c>
      <c r="H10" s="87">
        <v>1.08</v>
      </c>
      <c r="I10" s="87">
        <v>0.78</v>
      </c>
      <c r="J10" s="87">
        <v>0.87</v>
      </c>
      <c r="K10" s="87">
        <v>0.39</v>
      </c>
      <c r="L10" s="109">
        <f t="shared" si="0"/>
        <v>13.030000000000001</v>
      </c>
      <c r="M10" s="5">
        <v>3.75</v>
      </c>
      <c r="N10" s="196">
        <v>16.78</v>
      </c>
      <c r="O10" s="13">
        <f t="shared" si="18"/>
        <v>18908.029000000002</v>
      </c>
      <c r="P10" s="13">
        <v>2014.79</v>
      </c>
      <c r="Q10" s="13">
        <f aca="true" t="shared" si="27" ref="Q10:Q31">F10*C10*6</f>
        <v>0</v>
      </c>
      <c r="R10" s="13">
        <f t="shared" si="19"/>
        <v>12573.972000000002</v>
      </c>
      <c r="S10" s="13">
        <f t="shared" si="1"/>
        <v>3650.5080000000007</v>
      </c>
      <c r="T10" s="13">
        <f t="shared" si="2"/>
        <v>2636.4780000000005</v>
      </c>
      <c r="U10" s="13">
        <f t="shared" si="3"/>
        <v>2940.6870000000004</v>
      </c>
      <c r="V10" s="13">
        <f t="shared" si="4"/>
        <v>1318.2390000000003</v>
      </c>
      <c r="W10" s="113">
        <f t="shared" si="5"/>
        <v>44042.70300000001</v>
      </c>
      <c r="X10" s="113">
        <f t="shared" si="6"/>
        <v>12675.375</v>
      </c>
      <c r="Y10" s="43">
        <v>56619.89</v>
      </c>
      <c r="Z10" s="15">
        <f t="shared" si="20"/>
        <v>18243.571692248657</v>
      </c>
      <c r="AA10" s="13">
        <v>2014.79</v>
      </c>
      <c r="AB10" s="13">
        <f aca="true" t="shared" si="28" ref="AB10:AB31">Q10*M10*6</f>
        <v>0</v>
      </c>
      <c r="AC10" s="13">
        <f t="shared" si="21"/>
        <v>12174.653553338449</v>
      </c>
      <c r="AD10" s="13">
        <f t="shared" si="7"/>
        <v>3534.5768380660015</v>
      </c>
      <c r="AE10" s="13">
        <f t="shared" si="8"/>
        <v>2552.749938603223</v>
      </c>
      <c r="AF10" s="13">
        <f t="shared" si="9"/>
        <v>2847.2980084420565</v>
      </c>
      <c r="AG10" s="13">
        <f t="shared" si="10"/>
        <v>1276.3749693016116</v>
      </c>
      <c r="AH10" s="155">
        <f t="shared" si="22"/>
        <v>42644.015</v>
      </c>
      <c r="AI10" s="113">
        <f t="shared" si="23"/>
        <v>12675.375</v>
      </c>
      <c r="AJ10" s="43">
        <v>55319.39</v>
      </c>
      <c r="AK10" s="21">
        <v>0</v>
      </c>
      <c r="AL10" s="13">
        <v>2014.79</v>
      </c>
      <c r="AM10" s="21">
        <f t="shared" si="11"/>
        <v>0</v>
      </c>
      <c r="AN10" s="21">
        <f t="shared" si="24"/>
        <v>11975.211428571429</v>
      </c>
      <c r="AO10" s="21">
        <f t="shared" si="12"/>
        <v>3476.6742857142863</v>
      </c>
      <c r="AP10" s="21">
        <f t="shared" si="13"/>
        <v>2510.931428571429</v>
      </c>
      <c r="AQ10" s="21">
        <f t="shared" si="14"/>
        <v>2800.654285714286</v>
      </c>
      <c r="AR10" s="21">
        <f t="shared" si="15"/>
        <v>1255.4657142857145</v>
      </c>
      <c r="AS10" s="22">
        <f t="shared" si="16"/>
        <v>24033.72714285714</v>
      </c>
      <c r="AT10" s="21">
        <f t="shared" si="25"/>
        <v>12675.375</v>
      </c>
      <c r="AU10" s="21">
        <f t="shared" si="26"/>
        <v>36709.10214285714</v>
      </c>
      <c r="AV10" s="9" t="s">
        <v>13</v>
      </c>
    </row>
    <row r="11" spans="1:48" ht="21" customHeight="1">
      <c r="A11" s="26">
        <v>6</v>
      </c>
      <c r="B11" s="9" t="s">
        <v>14</v>
      </c>
      <c r="C11" s="11">
        <v>569.27</v>
      </c>
      <c r="D11" s="87">
        <f t="shared" si="17"/>
        <v>6.320000000000001</v>
      </c>
      <c r="E11" s="87">
        <v>-0.13</v>
      </c>
      <c r="F11" s="87"/>
      <c r="G11" s="87">
        <v>3.72</v>
      </c>
      <c r="H11" s="87">
        <v>1.08</v>
      </c>
      <c r="I11" s="87">
        <v>0.78</v>
      </c>
      <c r="J11" s="87">
        <v>0.87</v>
      </c>
      <c r="K11" s="87">
        <v>0.39</v>
      </c>
      <c r="L11" s="109">
        <f t="shared" si="0"/>
        <v>13.030000000000001</v>
      </c>
      <c r="M11" s="5">
        <v>3.75</v>
      </c>
      <c r="N11" s="196">
        <v>16.78</v>
      </c>
      <c r="O11" s="13">
        <f t="shared" si="18"/>
        <v>21574.45780000001</v>
      </c>
      <c r="P11" s="13">
        <v>-431.77</v>
      </c>
      <c r="Q11" s="13">
        <f t="shared" si="27"/>
        <v>0</v>
      </c>
      <c r="R11" s="13">
        <f t="shared" si="19"/>
        <v>12706.1064</v>
      </c>
      <c r="S11" s="13">
        <f t="shared" si="1"/>
        <v>3688.8696</v>
      </c>
      <c r="T11" s="13">
        <f t="shared" si="2"/>
        <v>2664.1836</v>
      </c>
      <c r="U11" s="13">
        <f t="shared" si="3"/>
        <v>2971.5894</v>
      </c>
      <c r="V11" s="13">
        <f t="shared" si="4"/>
        <v>1332.0918</v>
      </c>
      <c r="W11" s="113">
        <f t="shared" si="5"/>
        <v>44505.528600000005</v>
      </c>
      <c r="X11" s="113">
        <f t="shared" si="6"/>
        <v>12808.574999999999</v>
      </c>
      <c r="Y11" s="43">
        <v>57088.22</v>
      </c>
      <c r="Z11" s="15">
        <f t="shared" si="20"/>
        <v>23096.953810437455</v>
      </c>
      <c r="AA11" s="13">
        <v>-431.77</v>
      </c>
      <c r="AB11" s="13">
        <f t="shared" si="28"/>
        <v>0</v>
      </c>
      <c r="AC11" s="13">
        <f t="shared" si="21"/>
        <v>13621.079769762087</v>
      </c>
      <c r="AD11" s="13">
        <f t="shared" si="7"/>
        <v>3954.5070299309286</v>
      </c>
      <c r="AE11" s="13">
        <f t="shared" si="8"/>
        <v>2856.032854950115</v>
      </c>
      <c r="AF11" s="13">
        <f t="shared" si="9"/>
        <v>3185.5751074443588</v>
      </c>
      <c r="AG11" s="13">
        <f t="shared" si="10"/>
        <v>1428.0164274750575</v>
      </c>
      <c r="AH11" s="155">
        <f t="shared" si="22"/>
        <v>47710.395000000004</v>
      </c>
      <c r="AI11" s="113">
        <f t="shared" si="23"/>
        <v>12808.574999999999</v>
      </c>
      <c r="AJ11" s="43">
        <v>60518.97</v>
      </c>
      <c r="AK11" s="21">
        <v>39780.1</v>
      </c>
      <c r="AL11" s="13">
        <v>-431.77</v>
      </c>
      <c r="AM11" s="21">
        <f t="shared" si="11"/>
        <v>0</v>
      </c>
      <c r="AN11" s="21">
        <f t="shared" si="24"/>
        <v>12101.053714285714</v>
      </c>
      <c r="AO11" s="21">
        <f t="shared" si="12"/>
        <v>3513.2091428571425</v>
      </c>
      <c r="AP11" s="21">
        <f t="shared" si="13"/>
        <v>2537.317714285714</v>
      </c>
      <c r="AQ11" s="21">
        <f t="shared" si="14"/>
        <v>2830.0851428571427</v>
      </c>
      <c r="AR11" s="21">
        <f t="shared" si="15"/>
        <v>1268.658857142857</v>
      </c>
      <c r="AS11" s="22">
        <f t="shared" si="16"/>
        <v>61598.654571428575</v>
      </c>
      <c r="AT11" s="21">
        <f t="shared" si="25"/>
        <v>12808.574999999999</v>
      </c>
      <c r="AU11" s="21">
        <f t="shared" si="26"/>
        <v>74407.22957142857</v>
      </c>
      <c r="AV11" s="9" t="s">
        <v>14</v>
      </c>
    </row>
    <row r="12" spans="1:48" s="135" customFormat="1" ht="21" customHeight="1">
      <c r="A12" s="126">
        <v>7</v>
      </c>
      <c r="B12" s="127" t="s">
        <v>15</v>
      </c>
      <c r="C12" s="128">
        <v>571.96</v>
      </c>
      <c r="D12" s="87">
        <f t="shared" si="17"/>
        <v>4.400000000000001</v>
      </c>
      <c r="E12" s="187">
        <v>1.79</v>
      </c>
      <c r="F12" s="187"/>
      <c r="G12" s="87">
        <v>3.72</v>
      </c>
      <c r="H12" s="187">
        <v>1.08</v>
      </c>
      <c r="I12" s="87">
        <v>0.78</v>
      </c>
      <c r="J12" s="87">
        <v>0.87</v>
      </c>
      <c r="K12" s="87">
        <v>0.39</v>
      </c>
      <c r="L12" s="109">
        <f aca="true" t="shared" si="29" ref="L12:L35">N12-M12</f>
        <v>13.030000000000001</v>
      </c>
      <c r="M12" s="189">
        <v>3.75</v>
      </c>
      <c r="N12" s="196">
        <v>16.78</v>
      </c>
      <c r="O12" s="13">
        <f t="shared" si="18"/>
        <v>21042.134400000006</v>
      </c>
      <c r="P12" s="129">
        <v>200.46</v>
      </c>
      <c r="Q12" s="129">
        <f t="shared" si="27"/>
        <v>0</v>
      </c>
      <c r="R12" s="13">
        <f t="shared" si="19"/>
        <v>12766.147200000003</v>
      </c>
      <c r="S12" s="13">
        <f t="shared" si="1"/>
        <v>3706.300800000001</v>
      </c>
      <c r="T12" s="13">
        <f t="shared" si="2"/>
        <v>2676.7728000000006</v>
      </c>
      <c r="U12" s="13">
        <f t="shared" si="3"/>
        <v>2985.6312000000007</v>
      </c>
      <c r="V12" s="13">
        <f t="shared" si="4"/>
        <v>1338.3864000000003</v>
      </c>
      <c r="W12" s="113">
        <f t="shared" si="5"/>
        <v>44715.83280000001</v>
      </c>
      <c r="X12" s="113">
        <f t="shared" si="6"/>
        <v>12869.100000000002</v>
      </c>
      <c r="Y12" s="43">
        <v>57338.28</v>
      </c>
      <c r="Z12" s="15">
        <f t="shared" si="20"/>
        <v>21977.155610130467</v>
      </c>
      <c r="AA12" s="129">
        <v>200.46</v>
      </c>
      <c r="AB12" s="13">
        <f t="shared" si="28"/>
        <v>0</v>
      </c>
      <c r="AC12" s="13">
        <f t="shared" si="21"/>
        <v>13328.066247122026</v>
      </c>
      <c r="AD12" s="13">
        <f t="shared" si="7"/>
        <v>3869.4385878741364</v>
      </c>
      <c r="AE12" s="13">
        <f t="shared" si="8"/>
        <v>2794.594535686876</v>
      </c>
      <c r="AF12" s="13">
        <f t="shared" si="9"/>
        <v>3117.047751343054</v>
      </c>
      <c r="AG12" s="13">
        <f t="shared" si="10"/>
        <v>1397.297267843438</v>
      </c>
      <c r="AH12" s="155">
        <f t="shared" si="22"/>
        <v>46684.06</v>
      </c>
      <c r="AI12" s="113">
        <f t="shared" si="23"/>
        <v>12869.100000000002</v>
      </c>
      <c r="AJ12" s="43">
        <v>59553.16</v>
      </c>
      <c r="AK12" s="133">
        <v>0</v>
      </c>
      <c r="AL12" s="129">
        <v>200.46</v>
      </c>
      <c r="AM12" s="133">
        <f t="shared" si="11"/>
        <v>0</v>
      </c>
      <c r="AN12" s="21">
        <f t="shared" si="24"/>
        <v>12158.235428571432</v>
      </c>
      <c r="AO12" s="21">
        <f t="shared" si="12"/>
        <v>3529.8102857142862</v>
      </c>
      <c r="AP12" s="21">
        <f t="shared" si="13"/>
        <v>2549.307428571429</v>
      </c>
      <c r="AQ12" s="21">
        <f t="shared" si="14"/>
        <v>2843.4582857142864</v>
      </c>
      <c r="AR12" s="21">
        <f t="shared" si="15"/>
        <v>1274.6537142857146</v>
      </c>
      <c r="AS12" s="190">
        <f t="shared" si="16"/>
        <v>22555.925142857148</v>
      </c>
      <c r="AT12" s="21">
        <f t="shared" si="25"/>
        <v>12869.100000000002</v>
      </c>
      <c r="AU12" s="21">
        <f t="shared" si="26"/>
        <v>35425.02514285715</v>
      </c>
      <c r="AV12" s="127" t="s">
        <v>15</v>
      </c>
    </row>
    <row r="13" spans="1:48" ht="21" customHeight="1">
      <c r="A13" s="26">
        <v>8</v>
      </c>
      <c r="B13" s="9" t="s">
        <v>16</v>
      </c>
      <c r="C13" s="11">
        <v>295.42</v>
      </c>
      <c r="D13" s="87">
        <f t="shared" si="17"/>
        <v>6.19</v>
      </c>
      <c r="E13" s="87">
        <v>0</v>
      </c>
      <c r="F13" s="87"/>
      <c r="G13" s="87">
        <v>3.72</v>
      </c>
      <c r="H13" s="87">
        <v>1.08</v>
      </c>
      <c r="I13" s="87">
        <v>0.78</v>
      </c>
      <c r="J13" s="87">
        <v>0.87</v>
      </c>
      <c r="K13" s="87">
        <v>0.39</v>
      </c>
      <c r="L13" s="109">
        <f t="shared" si="29"/>
        <v>13.030000000000001</v>
      </c>
      <c r="M13" s="5">
        <v>3.75</v>
      </c>
      <c r="N13" s="196">
        <v>16.78</v>
      </c>
      <c r="O13" s="13">
        <f t="shared" si="18"/>
        <v>10971.898799999999</v>
      </c>
      <c r="P13" s="13">
        <v>0</v>
      </c>
      <c r="Q13" s="13">
        <f t="shared" si="27"/>
        <v>0</v>
      </c>
      <c r="R13" s="13">
        <f t="shared" si="19"/>
        <v>6593.774400000001</v>
      </c>
      <c r="S13" s="13">
        <f t="shared" si="1"/>
        <v>1914.3216000000004</v>
      </c>
      <c r="T13" s="13">
        <f t="shared" si="2"/>
        <v>1382.5656000000001</v>
      </c>
      <c r="U13" s="13">
        <f t="shared" si="3"/>
        <v>1542.0924000000002</v>
      </c>
      <c r="V13" s="13">
        <f t="shared" si="4"/>
        <v>691.2828000000001</v>
      </c>
      <c r="W13" s="113">
        <f t="shared" si="5"/>
        <v>23095.935600000004</v>
      </c>
      <c r="X13" s="113">
        <f t="shared" si="6"/>
        <v>6646.950000000001</v>
      </c>
      <c r="Y13" s="43">
        <v>29742.96</v>
      </c>
      <c r="Z13" s="15">
        <f t="shared" si="20"/>
        <v>7601.7523023791255</v>
      </c>
      <c r="AA13" s="13">
        <v>0</v>
      </c>
      <c r="AB13" s="13">
        <f t="shared" si="28"/>
        <v>0</v>
      </c>
      <c r="AC13" s="13">
        <f t="shared" si="21"/>
        <v>4568.419800460475</v>
      </c>
      <c r="AD13" s="13">
        <f t="shared" si="7"/>
        <v>1326.315425940138</v>
      </c>
      <c r="AE13" s="13">
        <f t="shared" si="8"/>
        <v>957.8944742900997</v>
      </c>
      <c r="AF13" s="13">
        <f t="shared" si="9"/>
        <v>1068.4207597851112</v>
      </c>
      <c r="AG13" s="13">
        <f t="shared" si="10"/>
        <v>478.9472371450498</v>
      </c>
      <c r="AH13" s="155">
        <f t="shared" si="22"/>
        <v>16001.75</v>
      </c>
      <c r="AI13" s="113">
        <f t="shared" si="23"/>
        <v>6646.950000000001</v>
      </c>
      <c r="AJ13" s="43">
        <v>22648.7</v>
      </c>
      <c r="AK13" s="21">
        <v>15415.9</v>
      </c>
      <c r="AL13" s="13">
        <v>0</v>
      </c>
      <c r="AM13" s="21">
        <f t="shared" si="11"/>
        <v>0</v>
      </c>
      <c r="AN13" s="21">
        <f t="shared" si="24"/>
        <v>6279.785142857144</v>
      </c>
      <c r="AO13" s="21">
        <f t="shared" si="12"/>
        <v>1823.163428571429</v>
      </c>
      <c r="AP13" s="21">
        <f t="shared" si="13"/>
        <v>1316.729142857143</v>
      </c>
      <c r="AQ13" s="21">
        <f t="shared" si="14"/>
        <v>1468.6594285714286</v>
      </c>
      <c r="AR13" s="21">
        <f t="shared" si="15"/>
        <v>658.3645714285715</v>
      </c>
      <c r="AS13" s="22">
        <f t="shared" si="16"/>
        <v>26962.601714285713</v>
      </c>
      <c r="AT13" s="21">
        <f t="shared" si="25"/>
        <v>6646.950000000001</v>
      </c>
      <c r="AU13" s="21">
        <f t="shared" si="26"/>
        <v>33609.55171428571</v>
      </c>
      <c r="AV13" s="9" t="s">
        <v>16</v>
      </c>
    </row>
    <row r="14" spans="1:48" ht="21" customHeight="1">
      <c r="A14" s="26">
        <v>9</v>
      </c>
      <c r="B14" s="9" t="s">
        <v>17</v>
      </c>
      <c r="C14" s="11">
        <v>724.96</v>
      </c>
      <c r="D14" s="87">
        <f t="shared" si="17"/>
        <v>5.54</v>
      </c>
      <c r="E14" s="87">
        <v>0.65</v>
      </c>
      <c r="F14" s="87"/>
      <c r="G14" s="87">
        <v>3.72</v>
      </c>
      <c r="H14" s="87">
        <v>1.08</v>
      </c>
      <c r="I14" s="87">
        <v>0.78</v>
      </c>
      <c r="J14" s="87">
        <v>0.87</v>
      </c>
      <c r="K14" s="87">
        <v>0.39</v>
      </c>
      <c r="L14" s="109">
        <f t="shared" si="29"/>
        <v>13.030000000000001</v>
      </c>
      <c r="M14" s="5">
        <v>3.75</v>
      </c>
      <c r="N14" s="196">
        <v>16.78</v>
      </c>
      <c r="O14" s="13">
        <f t="shared" si="18"/>
        <v>20806.464400000004</v>
      </c>
      <c r="P14" s="13">
        <v>6118.55</v>
      </c>
      <c r="Q14" s="13">
        <f t="shared" si="27"/>
        <v>0</v>
      </c>
      <c r="R14" s="13">
        <f t="shared" si="19"/>
        <v>16181.107200000002</v>
      </c>
      <c r="S14" s="13">
        <f t="shared" si="1"/>
        <v>4697.7408000000005</v>
      </c>
      <c r="T14" s="13">
        <f t="shared" si="2"/>
        <v>3392.8128</v>
      </c>
      <c r="U14" s="13">
        <f t="shared" si="3"/>
        <v>3784.2912</v>
      </c>
      <c r="V14" s="13">
        <f t="shared" si="4"/>
        <v>1696.4064</v>
      </c>
      <c r="W14" s="113">
        <f t="shared" si="5"/>
        <v>56677.372800000005</v>
      </c>
      <c r="X14" s="113">
        <f t="shared" si="6"/>
        <v>16311.600000000002</v>
      </c>
      <c r="Y14" s="43">
        <v>72981.61</v>
      </c>
      <c r="Z14" s="15">
        <f t="shared" si="20"/>
        <v>19432.33532617037</v>
      </c>
      <c r="AA14" s="13">
        <v>6118.55</v>
      </c>
      <c r="AB14" s="13">
        <f t="shared" si="28"/>
        <v>0</v>
      </c>
      <c r="AC14" s="13">
        <f t="shared" si="21"/>
        <v>15355.297805065231</v>
      </c>
      <c r="AD14" s="13">
        <f t="shared" si="7"/>
        <v>4457.989685341518</v>
      </c>
      <c r="AE14" s="13">
        <f t="shared" si="8"/>
        <v>3219.6592171910966</v>
      </c>
      <c r="AF14" s="13">
        <f t="shared" si="9"/>
        <v>3591.1583576362227</v>
      </c>
      <c r="AG14" s="13">
        <f t="shared" si="10"/>
        <v>1609.8296085955483</v>
      </c>
      <c r="AH14" s="155">
        <f t="shared" si="22"/>
        <v>53784.81999999999</v>
      </c>
      <c r="AI14" s="113">
        <f t="shared" si="23"/>
        <v>16311.600000000002</v>
      </c>
      <c r="AJ14" s="43">
        <v>70096.42</v>
      </c>
      <c r="AK14" s="21">
        <v>129939</v>
      </c>
      <c r="AL14" s="13">
        <v>6118.55</v>
      </c>
      <c r="AM14" s="21">
        <f t="shared" si="11"/>
        <v>0</v>
      </c>
      <c r="AN14" s="21">
        <f t="shared" si="24"/>
        <v>15410.578285714288</v>
      </c>
      <c r="AO14" s="21">
        <f t="shared" si="12"/>
        <v>4474.0388571428575</v>
      </c>
      <c r="AP14" s="21">
        <f t="shared" si="13"/>
        <v>3231.250285714286</v>
      </c>
      <c r="AQ14" s="21">
        <f t="shared" si="14"/>
        <v>3604.0868571428573</v>
      </c>
      <c r="AR14" s="21">
        <f t="shared" si="15"/>
        <v>1615.625142857143</v>
      </c>
      <c r="AS14" s="22">
        <f t="shared" si="16"/>
        <v>164393.1294285714</v>
      </c>
      <c r="AT14" s="21">
        <f t="shared" si="25"/>
        <v>16311.600000000002</v>
      </c>
      <c r="AU14" s="21">
        <f t="shared" si="26"/>
        <v>180704.72942857142</v>
      </c>
      <c r="AV14" s="9" t="s">
        <v>17</v>
      </c>
    </row>
    <row r="15" spans="1:48" ht="21" customHeight="1">
      <c r="A15" s="26">
        <v>10</v>
      </c>
      <c r="B15" s="9" t="s">
        <v>18</v>
      </c>
      <c r="C15" s="11">
        <v>722.5</v>
      </c>
      <c r="D15" s="87">
        <f t="shared" si="17"/>
        <v>5.160000000000001</v>
      </c>
      <c r="E15" s="87">
        <v>1.03</v>
      </c>
      <c r="F15" s="87"/>
      <c r="G15" s="87">
        <v>3.72</v>
      </c>
      <c r="H15" s="87">
        <v>1.08</v>
      </c>
      <c r="I15" s="87">
        <v>0.78</v>
      </c>
      <c r="J15" s="87">
        <v>0.87</v>
      </c>
      <c r="K15" s="87">
        <v>0.39</v>
      </c>
      <c r="L15" s="109">
        <f t="shared" si="29"/>
        <v>13.030000000000001</v>
      </c>
      <c r="M15" s="5">
        <v>3.75</v>
      </c>
      <c r="N15" s="196">
        <v>16.78</v>
      </c>
      <c r="O15" s="13">
        <f t="shared" si="18"/>
        <v>22349.6</v>
      </c>
      <c r="P15" s="13">
        <v>4484.05</v>
      </c>
      <c r="Q15" s="13">
        <f t="shared" si="27"/>
        <v>0</v>
      </c>
      <c r="R15" s="13">
        <f t="shared" si="19"/>
        <v>16126.2</v>
      </c>
      <c r="S15" s="13">
        <f t="shared" si="1"/>
        <v>4681.8</v>
      </c>
      <c r="T15" s="13">
        <f t="shared" si="2"/>
        <v>3381.3</v>
      </c>
      <c r="U15" s="13">
        <f t="shared" si="3"/>
        <v>3771.45</v>
      </c>
      <c r="V15" s="13">
        <f t="shared" si="4"/>
        <v>1690.65</v>
      </c>
      <c r="W15" s="113">
        <f t="shared" si="5"/>
        <v>56485.05</v>
      </c>
      <c r="X15" s="113">
        <f t="shared" si="6"/>
        <v>16256.25</v>
      </c>
      <c r="Y15" s="43">
        <v>72734.53</v>
      </c>
      <c r="Z15" s="15">
        <f t="shared" si="20"/>
        <v>23600.279286262477</v>
      </c>
      <c r="AA15" s="13">
        <v>4484.05</v>
      </c>
      <c r="AB15" s="13">
        <f t="shared" si="28"/>
        <v>0</v>
      </c>
      <c r="AC15" s="13">
        <f t="shared" si="21"/>
        <v>16877.819861857253</v>
      </c>
      <c r="AD15" s="13">
        <f t="shared" si="7"/>
        <v>4900.012217958557</v>
      </c>
      <c r="AE15" s="13">
        <f t="shared" si="8"/>
        <v>3538.897712970069</v>
      </c>
      <c r="AF15" s="13">
        <f t="shared" si="9"/>
        <v>3947.232064466615</v>
      </c>
      <c r="AG15" s="13">
        <f t="shared" si="10"/>
        <v>1769.4488564850344</v>
      </c>
      <c r="AH15" s="155">
        <f t="shared" si="22"/>
        <v>59117.740000000005</v>
      </c>
      <c r="AI15" s="113">
        <f t="shared" si="23"/>
        <v>16256.25</v>
      </c>
      <c r="AJ15" s="43">
        <v>75373.99</v>
      </c>
      <c r="AK15" s="21">
        <v>5924.5</v>
      </c>
      <c r="AL15" s="13">
        <v>4484.05</v>
      </c>
      <c r="AM15" s="21">
        <f t="shared" si="11"/>
        <v>0</v>
      </c>
      <c r="AN15" s="21">
        <f t="shared" si="24"/>
        <v>15358.285714285714</v>
      </c>
      <c r="AO15" s="21">
        <f t="shared" si="12"/>
        <v>4458.857142857143</v>
      </c>
      <c r="AP15" s="21">
        <f t="shared" si="13"/>
        <v>3220.285714285714</v>
      </c>
      <c r="AQ15" s="21">
        <f t="shared" si="14"/>
        <v>3591.8571428571427</v>
      </c>
      <c r="AR15" s="21">
        <f t="shared" si="15"/>
        <v>1610.142857142857</v>
      </c>
      <c r="AS15" s="22">
        <f t="shared" si="16"/>
        <v>38647.978571428575</v>
      </c>
      <c r="AT15" s="21">
        <f t="shared" si="25"/>
        <v>16256.25</v>
      </c>
      <c r="AU15" s="21">
        <f t="shared" si="26"/>
        <v>54904.228571428575</v>
      </c>
      <c r="AV15" s="9" t="s">
        <v>18</v>
      </c>
    </row>
    <row r="16" spans="1:48" ht="21" customHeight="1">
      <c r="A16" s="26">
        <v>11</v>
      </c>
      <c r="B16" s="9" t="s">
        <v>19</v>
      </c>
      <c r="C16" s="11">
        <v>726.09</v>
      </c>
      <c r="D16" s="87">
        <f t="shared" si="17"/>
        <v>5.54</v>
      </c>
      <c r="E16" s="87">
        <v>0.65</v>
      </c>
      <c r="F16" s="87"/>
      <c r="G16" s="87">
        <v>3.72</v>
      </c>
      <c r="H16" s="87">
        <v>1.08</v>
      </c>
      <c r="I16" s="87">
        <v>0.78</v>
      </c>
      <c r="J16" s="87">
        <v>0.87</v>
      </c>
      <c r="K16" s="87">
        <v>0.39</v>
      </c>
      <c r="L16" s="109">
        <f t="shared" si="29"/>
        <v>13.030000000000001</v>
      </c>
      <c r="M16" s="5">
        <v>3.75</v>
      </c>
      <c r="N16" s="196">
        <v>16.78</v>
      </c>
      <c r="O16" s="13">
        <f t="shared" si="18"/>
        <v>24125.8326</v>
      </c>
      <c r="P16" s="13">
        <v>2841.15</v>
      </c>
      <c r="Q16" s="13">
        <f t="shared" si="27"/>
        <v>0</v>
      </c>
      <c r="R16" s="13">
        <f t="shared" si="19"/>
        <v>16206.328800000001</v>
      </c>
      <c r="S16" s="13">
        <f t="shared" si="1"/>
        <v>4705.0632000000005</v>
      </c>
      <c r="T16" s="13">
        <f t="shared" si="2"/>
        <v>3398.1012</v>
      </c>
      <c r="U16" s="13">
        <f t="shared" si="3"/>
        <v>3790.1898</v>
      </c>
      <c r="V16" s="13">
        <f t="shared" si="4"/>
        <v>1699.0506</v>
      </c>
      <c r="W16" s="113">
        <f t="shared" si="5"/>
        <v>56765.71620000001</v>
      </c>
      <c r="X16" s="113">
        <f t="shared" si="6"/>
        <v>16337.025000000001</v>
      </c>
      <c r="Y16" s="43">
        <v>73145.5</v>
      </c>
      <c r="Z16" s="15">
        <f t="shared" si="20"/>
        <v>24392.35832310054</v>
      </c>
      <c r="AA16" s="13">
        <v>2841.15</v>
      </c>
      <c r="AB16" s="13">
        <f t="shared" si="28"/>
        <v>0</v>
      </c>
      <c r="AC16" s="13">
        <f t="shared" si="21"/>
        <v>16366.502578664617</v>
      </c>
      <c r="AD16" s="13">
        <f t="shared" si="7"/>
        <v>4751.565264773599</v>
      </c>
      <c r="AE16" s="13">
        <f t="shared" si="8"/>
        <v>3431.68602455871</v>
      </c>
      <c r="AF16" s="13">
        <f t="shared" si="9"/>
        <v>3827.6497966231764</v>
      </c>
      <c r="AG16" s="13">
        <f t="shared" si="10"/>
        <v>1715.843012279355</v>
      </c>
      <c r="AH16" s="155">
        <f t="shared" si="22"/>
        <v>57326.755</v>
      </c>
      <c r="AI16" s="113">
        <f t="shared" si="23"/>
        <v>16337.025000000001</v>
      </c>
      <c r="AJ16" s="43">
        <v>73663.78</v>
      </c>
      <c r="AK16" s="21">
        <v>127494.8</v>
      </c>
      <c r="AL16" s="13">
        <v>2841.15</v>
      </c>
      <c r="AM16" s="21">
        <f t="shared" si="11"/>
        <v>0</v>
      </c>
      <c r="AN16" s="21">
        <f t="shared" si="24"/>
        <v>15434.598857142857</v>
      </c>
      <c r="AO16" s="21">
        <f t="shared" si="12"/>
        <v>4481.012571428571</v>
      </c>
      <c r="AP16" s="21">
        <f t="shared" si="13"/>
        <v>3236.286857142857</v>
      </c>
      <c r="AQ16" s="21">
        <f t="shared" si="14"/>
        <v>3609.7045714285714</v>
      </c>
      <c r="AR16" s="21">
        <f t="shared" si="15"/>
        <v>1618.1434285714286</v>
      </c>
      <c r="AS16" s="22">
        <f t="shared" si="16"/>
        <v>158715.6962857143</v>
      </c>
      <c r="AT16" s="21">
        <f t="shared" si="25"/>
        <v>16337.025000000001</v>
      </c>
      <c r="AU16" s="21">
        <f t="shared" si="26"/>
        <v>175052.7212857143</v>
      </c>
      <c r="AV16" s="9" t="s">
        <v>19</v>
      </c>
    </row>
    <row r="17" spans="1:48" ht="21" customHeight="1">
      <c r="A17" s="26">
        <v>12</v>
      </c>
      <c r="B17" s="9" t="s">
        <v>20</v>
      </c>
      <c r="C17" s="11">
        <v>757.94</v>
      </c>
      <c r="D17" s="87">
        <f t="shared" si="17"/>
        <v>5.8</v>
      </c>
      <c r="E17" s="87">
        <v>0.39</v>
      </c>
      <c r="F17" s="87"/>
      <c r="G17" s="87">
        <v>3.72</v>
      </c>
      <c r="H17" s="87">
        <v>1.08</v>
      </c>
      <c r="I17" s="87">
        <v>0.78</v>
      </c>
      <c r="J17" s="87">
        <v>0.87</v>
      </c>
      <c r="K17" s="87">
        <v>0.39</v>
      </c>
      <c r="L17" s="109">
        <f t="shared" si="29"/>
        <v>13.030000000000001</v>
      </c>
      <c r="M17" s="5">
        <v>3.75</v>
      </c>
      <c r="N17" s="196">
        <v>16.78</v>
      </c>
      <c r="O17" s="13">
        <f t="shared" si="18"/>
        <v>26385.201600000004</v>
      </c>
      <c r="P17" s="13">
        <v>1764.69</v>
      </c>
      <c r="Q17" s="13">
        <f t="shared" si="27"/>
        <v>0</v>
      </c>
      <c r="R17" s="13">
        <f t="shared" si="19"/>
        <v>16917.220800000003</v>
      </c>
      <c r="S17" s="13">
        <f t="shared" si="1"/>
        <v>4911.4512</v>
      </c>
      <c r="T17" s="13">
        <f t="shared" si="2"/>
        <v>3547.1592000000005</v>
      </c>
      <c r="U17" s="13">
        <f t="shared" si="3"/>
        <v>3956.4468</v>
      </c>
      <c r="V17" s="13">
        <f t="shared" si="4"/>
        <v>1773.5796000000003</v>
      </c>
      <c r="W17" s="113">
        <f t="shared" si="5"/>
        <v>59255.749200000006</v>
      </c>
      <c r="X17" s="113">
        <f t="shared" si="6"/>
        <v>17053.65</v>
      </c>
      <c r="Y17" s="43">
        <v>75980.64</v>
      </c>
      <c r="Z17" s="15">
        <f t="shared" si="20"/>
        <v>29819.250560245597</v>
      </c>
      <c r="AA17" s="13">
        <v>1764.69</v>
      </c>
      <c r="AB17" s="13">
        <f t="shared" si="28"/>
        <v>0</v>
      </c>
      <c r="AC17" s="13">
        <f t="shared" si="21"/>
        <v>18980.978818112053</v>
      </c>
      <c r="AD17" s="13">
        <f t="shared" si="7"/>
        <v>5510.606753645435</v>
      </c>
      <c r="AE17" s="13">
        <f t="shared" si="8"/>
        <v>3979.8826554105917</v>
      </c>
      <c r="AF17" s="13">
        <f t="shared" si="9"/>
        <v>4439.099884881044</v>
      </c>
      <c r="AG17" s="13">
        <f t="shared" si="10"/>
        <v>1989.9413277052959</v>
      </c>
      <c r="AH17" s="155">
        <f t="shared" si="22"/>
        <v>66484.45000000001</v>
      </c>
      <c r="AI17" s="113">
        <f t="shared" si="23"/>
        <v>17053.65</v>
      </c>
      <c r="AJ17" s="43">
        <v>83538.1</v>
      </c>
      <c r="AK17" s="21">
        <v>0</v>
      </c>
      <c r="AL17" s="13">
        <v>1764.69</v>
      </c>
      <c r="AM17" s="21">
        <f t="shared" si="11"/>
        <v>0</v>
      </c>
      <c r="AN17" s="21">
        <f t="shared" si="24"/>
        <v>16111.63885714286</v>
      </c>
      <c r="AO17" s="21">
        <f t="shared" si="12"/>
        <v>4677.572571428572</v>
      </c>
      <c r="AP17" s="21">
        <f t="shared" si="13"/>
        <v>3378.2468571428576</v>
      </c>
      <c r="AQ17" s="21">
        <f t="shared" si="14"/>
        <v>3768.0445714285715</v>
      </c>
      <c r="AR17" s="21">
        <f t="shared" si="15"/>
        <v>1689.1234285714288</v>
      </c>
      <c r="AS17" s="22">
        <f t="shared" si="16"/>
        <v>31389.31628571429</v>
      </c>
      <c r="AT17" s="21">
        <f t="shared" si="25"/>
        <v>17053.65</v>
      </c>
      <c r="AU17" s="21">
        <f t="shared" si="26"/>
        <v>48442.96628571429</v>
      </c>
      <c r="AV17" s="9" t="s">
        <v>20</v>
      </c>
    </row>
    <row r="18" spans="1:48" ht="21" customHeight="1">
      <c r="A18" s="26">
        <v>13</v>
      </c>
      <c r="B18" s="9" t="s">
        <v>21</v>
      </c>
      <c r="C18" s="11">
        <v>742.94</v>
      </c>
      <c r="D18" s="87">
        <f t="shared" si="17"/>
        <v>5.8</v>
      </c>
      <c r="E18" s="87">
        <v>0.39</v>
      </c>
      <c r="F18" s="87"/>
      <c r="G18" s="87">
        <v>3.72</v>
      </c>
      <c r="H18" s="87">
        <v>1.08</v>
      </c>
      <c r="I18" s="87">
        <v>0.78</v>
      </c>
      <c r="J18" s="87">
        <v>0.87</v>
      </c>
      <c r="K18" s="87">
        <v>0.39</v>
      </c>
      <c r="L18" s="109">
        <f t="shared" si="29"/>
        <v>13.030000000000001</v>
      </c>
      <c r="M18" s="5">
        <v>3.75</v>
      </c>
      <c r="N18" s="196">
        <v>16.78</v>
      </c>
      <c r="O18" s="13">
        <f t="shared" si="18"/>
        <v>25854.31160000001</v>
      </c>
      <c r="P18" s="13">
        <v>1738.48</v>
      </c>
      <c r="Q18" s="13">
        <f t="shared" si="27"/>
        <v>0</v>
      </c>
      <c r="R18" s="13">
        <f t="shared" si="19"/>
        <v>16582.420800000004</v>
      </c>
      <c r="S18" s="13">
        <f t="shared" si="1"/>
        <v>4814.251200000001</v>
      </c>
      <c r="T18" s="13">
        <f t="shared" si="2"/>
        <v>3476.9592000000002</v>
      </c>
      <c r="U18" s="13">
        <f t="shared" si="3"/>
        <v>3878.1468000000004</v>
      </c>
      <c r="V18" s="13">
        <f t="shared" si="4"/>
        <v>1738.4796000000001</v>
      </c>
      <c r="W18" s="113">
        <f t="shared" si="5"/>
        <v>58083.04920000001</v>
      </c>
      <c r="X18" s="113">
        <f t="shared" si="6"/>
        <v>16716.15</v>
      </c>
      <c r="Y18" s="43">
        <v>74799.24</v>
      </c>
      <c r="Z18" s="15">
        <f t="shared" si="20"/>
        <v>27672.704052187262</v>
      </c>
      <c r="AA18" s="13">
        <v>1738.48</v>
      </c>
      <c r="AB18" s="13">
        <f t="shared" si="28"/>
        <v>0</v>
      </c>
      <c r="AC18" s="13">
        <f t="shared" si="21"/>
        <v>17675.218848810433</v>
      </c>
      <c r="AD18" s="13">
        <f t="shared" si="7"/>
        <v>5131.515149654642</v>
      </c>
      <c r="AE18" s="13">
        <f t="shared" si="8"/>
        <v>3706.0942747505746</v>
      </c>
      <c r="AF18" s="13">
        <f t="shared" si="9"/>
        <v>4133.720537221795</v>
      </c>
      <c r="AG18" s="13">
        <f t="shared" si="10"/>
        <v>1853.0471373752873</v>
      </c>
      <c r="AH18" s="155">
        <f t="shared" si="22"/>
        <v>61910.77999999999</v>
      </c>
      <c r="AI18" s="113">
        <f t="shared" si="23"/>
        <v>16716.15</v>
      </c>
      <c r="AJ18" s="43">
        <v>78626.93</v>
      </c>
      <c r="AK18" s="21">
        <v>0</v>
      </c>
      <c r="AL18" s="13">
        <v>1738.48</v>
      </c>
      <c r="AM18" s="21">
        <f t="shared" si="11"/>
        <v>0</v>
      </c>
      <c r="AN18" s="21">
        <f t="shared" si="24"/>
        <v>15792.781714285717</v>
      </c>
      <c r="AO18" s="21">
        <f t="shared" si="12"/>
        <v>4585.001142857143</v>
      </c>
      <c r="AP18" s="21">
        <f t="shared" si="13"/>
        <v>3311.3897142857145</v>
      </c>
      <c r="AQ18" s="21">
        <f t="shared" si="14"/>
        <v>3693.473142857143</v>
      </c>
      <c r="AR18" s="21">
        <f t="shared" si="15"/>
        <v>1655.6948571428572</v>
      </c>
      <c r="AS18" s="22">
        <f t="shared" si="16"/>
        <v>30776.820571428572</v>
      </c>
      <c r="AT18" s="21">
        <f t="shared" si="25"/>
        <v>16716.15</v>
      </c>
      <c r="AU18" s="21">
        <f t="shared" si="26"/>
        <v>47492.970571428574</v>
      </c>
      <c r="AV18" s="9" t="s">
        <v>21</v>
      </c>
    </row>
    <row r="19" spans="1:48" ht="21" customHeight="1">
      <c r="A19" s="26">
        <v>14</v>
      </c>
      <c r="B19" s="9" t="s">
        <v>22</v>
      </c>
      <c r="C19" s="11">
        <v>731.9</v>
      </c>
      <c r="D19" s="87">
        <f t="shared" si="17"/>
        <v>5.8</v>
      </c>
      <c r="E19" s="87">
        <v>0.39</v>
      </c>
      <c r="F19" s="87"/>
      <c r="G19" s="87">
        <v>3.72</v>
      </c>
      <c r="H19" s="87">
        <v>1.08</v>
      </c>
      <c r="I19" s="87">
        <v>0.78</v>
      </c>
      <c r="J19" s="87">
        <v>0.87</v>
      </c>
      <c r="K19" s="87">
        <v>0.39</v>
      </c>
      <c r="L19" s="109">
        <f t="shared" si="29"/>
        <v>13.030000000000001</v>
      </c>
      <c r="M19" s="5">
        <v>3.75</v>
      </c>
      <c r="N19" s="196">
        <v>16.78</v>
      </c>
      <c r="O19" s="13">
        <f t="shared" si="18"/>
        <v>25470.116</v>
      </c>
      <c r="P19" s="13">
        <v>1712.65</v>
      </c>
      <c r="Q19" s="13">
        <f t="shared" si="27"/>
        <v>0</v>
      </c>
      <c r="R19" s="13">
        <f t="shared" si="19"/>
        <v>16336.008000000003</v>
      </c>
      <c r="S19" s="13">
        <f t="shared" si="1"/>
        <v>4742.712000000001</v>
      </c>
      <c r="T19" s="13">
        <f t="shared" si="2"/>
        <v>3425.2920000000004</v>
      </c>
      <c r="U19" s="13">
        <f t="shared" si="3"/>
        <v>3820.5180000000005</v>
      </c>
      <c r="V19" s="13">
        <f t="shared" si="4"/>
        <v>1712.6460000000002</v>
      </c>
      <c r="W19" s="113">
        <f t="shared" si="5"/>
        <v>57219.94200000001</v>
      </c>
      <c r="X19" s="113">
        <f t="shared" si="6"/>
        <v>16467.75</v>
      </c>
      <c r="Y19" s="43">
        <v>73687.56</v>
      </c>
      <c r="Z19" s="15">
        <f t="shared" si="20"/>
        <v>22367.129332310054</v>
      </c>
      <c r="AA19" s="13">
        <v>1712.65</v>
      </c>
      <c r="AB19" s="13">
        <f t="shared" si="28"/>
        <v>0</v>
      </c>
      <c r="AC19" s="13">
        <f t="shared" si="21"/>
        <v>14471.208257866461</v>
      </c>
      <c r="AD19" s="13">
        <f t="shared" si="7"/>
        <v>4201.31852647736</v>
      </c>
      <c r="AE19" s="13">
        <f t="shared" si="8"/>
        <v>3034.285602455871</v>
      </c>
      <c r="AF19" s="13">
        <f t="shared" si="9"/>
        <v>3384.3954796623175</v>
      </c>
      <c r="AG19" s="13">
        <f t="shared" si="10"/>
        <v>1517.1428012279355</v>
      </c>
      <c r="AH19" s="155">
        <f t="shared" si="22"/>
        <v>50688.130000000005</v>
      </c>
      <c r="AI19" s="113">
        <f t="shared" si="23"/>
        <v>16467.75</v>
      </c>
      <c r="AJ19" s="43">
        <v>67155.88</v>
      </c>
      <c r="AK19" s="21">
        <v>44669.2</v>
      </c>
      <c r="AL19" s="13">
        <v>1712.65</v>
      </c>
      <c r="AM19" s="21">
        <f t="shared" si="11"/>
        <v>0</v>
      </c>
      <c r="AN19" s="21">
        <f t="shared" si="24"/>
        <v>15558.10285714286</v>
      </c>
      <c r="AO19" s="21">
        <f t="shared" si="12"/>
        <v>4516.868571428573</v>
      </c>
      <c r="AP19" s="21">
        <f t="shared" si="13"/>
        <v>3262.1828571428573</v>
      </c>
      <c r="AQ19" s="21">
        <f t="shared" si="14"/>
        <v>3638.588571428572</v>
      </c>
      <c r="AR19" s="21">
        <f t="shared" si="15"/>
        <v>1631.0914285714287</v>
      </c>
      <c r="AS19" s="22">
        <f t="shared" si="16"/>
        <v>74988.68428571429</v>
      </c>
      <c r="AT19" s="21">
        <f t="shared" si="25"/>
        <v>16467.75</v>
      </c>
      <c r="AU19" s="21">
        <f t="shared" si="26"/>
        <v>91456.43428571429</v>
      </c>
      <c r="AV19" s="9" t="s">
        <v>22</v>
      </c>
    </row>
    <row r="20" spans="1:48" ht="21" customHeight="1">
      <c r="A20" s="26">
        <v>15</v>
      </c>
      <c r="B20" s="9" t="s">
        <v>23</v>
      </c>
      <c r="C20" s="11">
        <v>714.4</v>
      </c>
      <c r="D20" s="87">
        <f t="shared" si="17"/>
        <v>5.8</v>
      </c>
      <c r="E20" s="87">
        <v>0.39</v>
      </c>
      <c r="F20" s="87"/>
      <c r="G20" s="87">
        <v>3.72</v>
      </c>
      <c r="H20" s="87">
        <v>1.08</v>
      </c>
      <c r="I20" s="87">
        <v>0.78</v>
      </c>
      <c r="J20" s="87">
        <v>0.87</v>
      </c>
      <c r="K20" s="87">
        <v>0.39</v>
      </c>
      <c r="L20" s="109">
        <f t="shared" si="29"/>
        <v>13.030000000000001</v>
      </c>
      <c r="M20" s="5">
        <v>3.75</v>
      </c>
      <c r="N20" s="196">
        <v>16.78</v>
      </c>
      <c r="O20" s="13">
        <f t="shared" si="18"/>
        <v>24858.77600000001</v>
      </c>
      <c r="P20" s="13">
        <v>1674.04</v>
      </c>
      <c r="Q20" s="13">
        <f t="shared" si="27"/>
        <v>0</v>
      </c>
      <c r="R20" s="13">
        <f t="shared" si="19"/>
        <v>15945.408</v>
      </c>
      <c r="S20" s="13">
        <f t="shared" si="1"/>
        <v>4629.312</v>
      </c>
      <c r="T20" s="13">
        <f t="shared" si="2"/>
        <v>3343.392</v>
      </c>
      <c r="U20" s="13">
        <f t="shared" si="3"/>
        <v>3729.1679999999997</v>
      </c>
      <c r="V20" s="13">
        <f t="shared" si="4"/>
        <v>1671.696</v>
      </c>
      <c r="W20" s="113">
        <f t="shared" si="5"/>
        <v>55851.792</v>
      </c>
      <c r="X20" s="113">
        <f t="shared" si="6"/>
        <v>16074</v>
      </c>
      <c r="Y20" s="43">
        <v>71996.28</v>
      </c>
      <c r="Z20" s="15">
        <f t="shared" si="20"/>
        <v>25861.22726016884</v>
      </c>
      <c r="AA20" s="13">
        <v>1674.04</v>
      </c>
      <c r="AB20" s="13">
        <f t="shared" si="28"/>
        <v>0</v>
      </c>
      <c r="AC20" s="13">
        <f t="shared" si="21"/>
        <v>16547.850437452034</v>
      </c>
      <c r="AD20" s="13">
        <f t="shared" si="7"/>
        <v>4804.214643131236</v>
      </c>
      <c r="AE20" s="13">
        <f t="shared" si="8"/>
        <v>3469.7105755947814</v>
      </c>
      <c r="AF20" s="13">
        <f t="shared" si="9"/>
        <v>3870.0617958557173</v>
      </c>
      <c r="AG20" s="13">
        <f t="shared" si="10"/>
        <v>1734.8552877973907</v>
      </c>
      <c r="AH20" s="155">
        <f t="shared" si="22"/>
        <v>57961.96000000001</v>
      </c>
      <c r="AI20" s="113">
        <f t="shared" si="23"/>
        <v>16074</v>
      </c>
      <c r="AJ20" s="43">
        <v>74035.96</v>
      </c>
      <c r="AK20" s="21">
        <v>20688.7</v>
      </c>
      <c r="AL20" s="13">
        <v>1674.04</v>
      </c>
      <c r="AM20" s="21">
        <f t="shared" si="11"/>
        <v>0</v>
      </c>
      <c r="AN20" s="21">
        <f t="shared" si="24"/>
        <v>15186.102857142856</v>
      </c>
      <c r="AO20" s="21">
        <f t="shared" si="12"/>
        <v>4408.868571428571</v>
      </c>
      <c r="AP20" s="21">
        <f t="shared" si="13"/>
        <v>3184.182857142857</v>
      </c>
      <c r="AQ20" s="21">
        <f t="shared" si="14"/>
        <v>3551.588571428571</v>
      </c>
      <c r="AR20" s="21">
        <f t="shared" si="15"/>
        <v>1592.0914285714284</v>
      </c>
      <c r="AS20" s="22">
        <f t="shared" si="16"/>
        <v>50285.57428571429</v>
      </c>
      <c r="AT20" s="21">
        <f t="shared" si="25"/>
        <v>16074</v>
      </c>
      <c r="AU20" s="21">
        <f t="shared" si="26"/>
        <v>66359.57428571429</v>
      </c>
      <c r="AV20" s="9" t="s">
        <v>23</v>
      </c>
    </row>
    <row r="21" spans="1:48" ht="21" customHeight="1">
      <c r="A21" s="26">
        <v>16</v>
      </c>
      <c r="B21" s="9" t="s">
        <v>24</v>
      </c>
      <c r="C21" s="11">
        <v>775.3</v>
      </c>
      <c r="D21" s="87">
        <f t="shared" si="17"/>
        <v>5.8</v>
      </c>
      <c r="E21" s="87">
        <v>0.39</v>
      </c>
      <c r="F21" s="87"/>
      <c r="G21" s="87">
        <v>3.72</v>
      </c>
      <c r="H21" s="87">
        <v>1.08</v>
      </c>
      <c r="I21" s="87">
        <v>0.78</v>
      </c>
      <c r="J21" s="87">
        <v>0.87</v>
      </c>
      <c r="K21" s="87">
        <v>0.39</v>
      </c>
      <c r="L21" s="109">
        <f t="shared" si="29"/>
        <v>13.030000000000001</v>
      </c>
      <c r="M21" s="5">
        <v>3.75</v>
      </c>
      <c r="N21" s="196">
        <v>16.78</v>
      </c>
      <c r="O21" s="13">
        <f t="shared" si="18"/>
        <v>26981.092000000004</v>
      </c>
      <c r="P21" s="13">
        <v>1813.55</v>
      </c>
      <c r="Q21" s="13">
        <f t="shared" si="27"/>
        <v>0</v>
      </c>
      <c r="R21" s="13">
        <f t="shared" si="19"/>
        <v>17304.696</v>
      </c>
      <c r="S21" s="13">
        <f t="shared" si="1"/>
        <v>5023.9439999999995</v>
      </c>
      <c r="T21" s="13">
        <f t="shared" si="2"/>
        <v>3628.4039999999995</v>
      </c>
      <c r="U21" s="13">
        <f t="shared" si="3"/>
        <v>4047.0659999999993</v>
      </c>
      <c r="V21" s="13">
        <f t="shared" si="4"/>
        <v>1814.2019999999998</v>
      </c>
      <c r="W21" s="113">
        <f t="shared" si="5"/>
        <v>60612.954</v>
      </c>
      <c r="X21" s="113">
        <f t="shared" si="6"/>
        <v>17444.25</v>
      </c>
      <c r="Y21" s="43">
        <v>78057.36</v>
      </c>
      <c r="Z21" s="15">
        <f t="shared" si="20"/>
        <v>34013.01561013046</v>
      </c>
      <c r="AA21" s="13">
        <v>1813.55</v>
      </c>
      <c r="AB21" s="13">
        <f t="shared" si="28"/>
        <v>0</v>
      </c>
      <c r="AC21" s="13">
        <f t="shared" si="21"/>
        <v>21530.666247122026</v>
      </c>
      <c r="AD21" s="13">
        <f t="shared" si="7"/>
        <v>6250.838587874137</v>
      </c>
      <c r="AE21" s="13">
        <f t="shared" si="8"/>
        <v>4514.494535686877</v>
      </c>
      <c r="AF21" s="13">
        <f t="shared" si="9"/>
        <v>5035.397751343055</v>
      </c>
      <c r="AG21" s="13">
        <f t="shared" si="10"/>
        <v>2257.2472678434383</v>
      </c>
      <c r="AH21" s="155">
        <f t="shared" si="22"/>
        <v>75415.21</v>
      </c>
      <c r="AI21" s="113">
        <f t="shared" si="23"/>
        <v>17444.25</v>
      </c>
      <c r="AJ21" s="43">
        <v>92859.46</v>
      </c>
      <c r="AK21" s="21">
        <v>90330</v>
      </c>
      <c r="AL21" s="13">
        <v>1813.55</v>
      </c>
      <c r="AM21" s="21">
        <f t="shared" si="11"/>
        <v>0</v>
      </c>
      <c r="AN21" s="21">
        <f t="shared" si="24"/>
        <v>16480.662857142856</v>
      </c>
      <c r="AO21" s="21">
        <f t="shared" si="12"/>
        <v>4784.70857142857</v>
      </c>
      <c r="AP21" s="21">
        <f t="shared" si="13"/>
        <v>3455.6228571428564</v>
      </c>
      <c r="AQ21" s="21">
        <f t="shared" si="14"/>
        <v>3854.3485714285707</v>
      </c>
      <c r="AR21" s="21">
        <f t="shared" si="15"/>
        <v>1727.8114285714282</v>
      </c>
      <c r="AS21" s="22">
        <f t="shared" si="16"/>
        <v>122446.70428571427</v>
      </c>
      <c r="AT21" s="21">
        <f t="shared" si="25"/>
        <v>17444.25</v>
      </c>
      <c r="AU21" s="21">
        <f t="shared" si="26"/>
        <v>139890.95428571425</v>
      </c>
      <c r="AV21" s="9" t="s">
        <v>24</v>
      </c>
    </row>
    <row r="22" spans="1:48" ht="21" customHeight="1">
      <c r="A22" s="26">
        <v>17</v>
      </c>
      <c r="B22" s="9" t="s">
        <v>25</v>
      </c>
      <c r="C22" s="11">
        <v>717.09</v>
      </c>
      <c r="D22" s="87">
        <f t="shared" si="17"/>
        <v>5.8</v>
      </c>
      <c r="E22" s="87">
        <v>0.39</v>
      </c>
      <c r="F22" s="87"/>
      <c r="G22" s="87">
        <v>3.72</v>
      </c>
      <c r="H22" s="87">
        <v>1.08</v>
      </c>
      <c r="I22" s="87">
        <v>0.78</v>
      </c>
      <c r="J22" s="87">
        <v>0.87</v>
      </c>
      <c r="K22" s="87">
        <v>0.39</v>
      </c>
      <c r="L22" s="109">
        <f t="shared" si="29"/>
        <v>13.030000000000001</v>
      </c>
      <c r="M22" s="5">
        <v>3.75</v>
      </c>
      <c r="N22" s="196">
        <v>16.78</v>
      </c>
      <c r="O22" s="13">
        <f t="shared" si="18"/>
        <v>24954.732600000014</v>
      </c>
      <c r="P22" s="13">
        <v>1677.99</v>
      </c>
      <c r="Q22" s="13">
        <f t="shared" si="27"/>
        <v>0</v>
      </c>
      <c r="R22" s="13">
        <f t="shared" si="19"/>
        <v>16005.4488</v>
      </c>
      <c r="S22" s="13">
        <f t="shared" si="1"/>
        <v>4646.7432</v>
      </c>
      <c r="T22" s="13">
        <f t="shared" si="2"/>
        <v>3355.9812</v>
      </c>
      <c r="U22" s="13">
        <f t="shared" si="3"/>
        <v>3743.2098</v>
      </c>
      <c r="V22" s="13">
        <f t="shared" si="4"/>
        <v>1677.9906</v>
      </c>
      <c r="W22" s="113">
        <f t="shared" si="5"/>
        <v>56062.09620000001</v>
      </c>
      <c r="X22" s="113">
        <f t="shared" si="6"/>
        <v>16134.525000000001</v>
      </c>
      <c r="Y22" s="43">
        <v>72196.74</v>
      </c>
      <c r="Z22" s="15">
        <f t="shared" si="20"/>
        <v>24767.625859554875</v>
      </c>
      <c r="AA22" s="13">
        <v>1677.99</v>
      </c>
      <c r="AB22" s="13">
        <f t="shared" si="28"/>
        <v>0</v>
      </c>
      <c r="AC22" s="13">
        <f t="shared" si="21"/>
        <v>15893.00339217191</v>
      </c>
      <c r="AD22" s="13">
        <f t="shared" si="7"/>
        <v>4614.097759017651</v>
      </c>
      <c r="AE22" s="13">
        <f t="shared" si="8"/>
        <v>3332.4039370683035</v>
      </c>
      <c r="AF22" s="13">
        <f t="shared" si="9"/>
        <v>3716.9120836531074</v>
      </c>
      <c r="AG22" s="13">
        <f t="shared" si="10"/>
        <v>1666.2019685341518</v>
      </c>
      <c r="AH22" s="155">
        <f t="shared" si="22"/>
        <v>55668.23499999999</v>
      </c>
      <c r="AI22" s="113">
        <f t="shared" si="23"/>
        <v>16134.525000000001</v>
      </c>
      <c r="AJ22" s="43">
        <v>71802.76</v>
      </c>
      <c r="AK22" s="21">
        <v>45349</v>
      </c>
      <c r="AL22" s="13">
        <v>1677.99</v>
      </c>
      <c r="AM22" s="21">
        <f t="shared" si="11"/>
        <v>0</v>
      </c>
      <c r="AN22" s="21">
        <f t="shared" si="24"/>
        <v>15243.28457142857</v>
      </c>
      <c r="AO22" s="21">
        <f t="shared" si="12"/>
        <v>4425.469714285714</v>
      </c>
      <c r="AP22" s="21">
        <f t="shared" si="13"/>
        <v>3196.1725714285712</v>
      </c>
      <c r="AQ22" s="21">
        <f t="shared" si="14"/>
        <v>3564.961714285714</v>
      </c>
      <c r="AR22" s="21">
        <f t="shared" si="15"/>
        <v>1598.0862857142856</v>
      </c>
      <c r="AS22" s="22">
        <f t="shared" si="16"/>
        <v>75054.96485714286</v>
      </c>
      <c r="AT22" s="21">
        <f t="shared" si="25"/>
        <v>16134.525000000001</v>
      </c>
      <c r="AU22" s="21">
        <f t="shared" si="26"/>
        <v>91189.48985714285</v>
      </c>
      <c r="AV22" s="9" t="s">
        <v>25</v>
      </c>
    </row>
    <row r="23" spans="1:48" ht="21" customHeight="1">
      <c r="A23" s="26">
        <v>18</v>
      </c>
      <c r="B23" s="9" t="s">
        <v>26</v>
      </c>
      <c r="C23" s="11">
        <v>720.18</v>
      </c>
      <c r="D23" s="87">
        <f t="shared" si="17"/>
        <v>5.8</v>
      </c>
      <c r="E23" s="87">
        <v>0.39</v>
      </c>
      <c r="F23" s="87"/>
      <c r="G23" s="87">
        <v>3.72</v>
      </c>
      <c r="H23" s="87">
        <v>1.08</v>
      </c>
      <c r="I23" s="87">
        <v>0.78</v>
      </c>
      <c r="J23" s="87">
        <v>0.87</v>
      </c>
      <c r="K23" s="87">
        <v>0.39</v>
      </c>
      <c r="L23" s="109">
        <f t="shared" si="29"/>
        <v>13.030000000000001</v>
      </c>
      <c r="M23" s="5">
        <v>3.75</v>
      </c>
      <c r="N23" s="196">
        <v>16.78</v>
      </c>
      <c r="O23" s="13">
        <f t="shared" si="18"/>
        <v>25062.2652</v>
      </c>
      <c r="P23" s="13">
        <v>1685.22</v>
      </c>
      <c r="Q23" s="13">
        <f t="shared" si="27"/>
        <v>0</v>
      </c>
      <c r="R23" s="13">
        <f t="shared" si="19"/>
        <v>16074.4176</v>
      </c>
      <c r="S23" s="13">
        <f t="shared" si="1"/>
        <v>4666.7664</v>
      </c>
      <c r="T23" s="13">
        <f t="shared" si="2"/>
        <v>3370.4424</v>
      </c>
      <c r="U23" s="13">
        <f t="shared" si="3"/>
        <v>3759.3396</v>
      </c>
      <c r="V23" s="13">
        <f t="shared" si="4"/>
        <v>1685.2212</v>
      </c>
      <c r="W23" s="113">
        <f t="shared" si="5"/>
        <v>56303.6724</v>
      </c>
      <c r="X23" s="113">
        <f t="shared" si="6"/>
        <v>16204.05</v>
      </c>
      <c r="Y23" s="43">
        <v>72509.64</v>
      </c>
      <c r="Z23" s="15">
        <f t="shared" si="20"/>
        <v>27501.736884113583</v>
      </c>
      <c r="AA23" s="13">
        <v>1685.22</v>
      </c>
      <c r="AB23" s="13">
        <f t="shared" si="28"/>
        <v>0</v>
      </c>
      <c r="AC23" s="13">
        <f t="shared" si="21"/>
        <v>17540.46520337682</v>
      </c>
      <c r="AD23" s="13">
        <f t="shared" si="7"/>
        <v>5092.3931235610125</v>
      </c>
      <c r="AE23" s="13">
        <f t="shared" si="8"/>
        <v>3677.839478127398</v>
      </c>
      <c r="AF23" s="13">
        <f t="shared" si="9"/>
        <v>4102.205571757482</v>
      </c>
      <c r="AG23" s="13">
        <f t="shared" si="10"/>
        <v>1838.919739063699</v>
      </c>
      <c r="AH23" s="155">
        <f t="shared" si="22"/>
        <v>61438.78</v>
      </c>
      <c r="AI23" s="113">
        <f t="shared" si="23"/>
        <v>16204.05</v>
      </c>
      <c r="AJ23" s="43">
        <v>77642.83</v>
      </c>
      <c r="AK23" s="21">
        <v>0</v>
      </c>
      <c r="AL23" s="13">
        <v>1685.22</v>
      </c>
      <c r="AM23" s="21">
        <f t="shared" si="11"/>
        <v>0</v>
      </c>
      <c r="AN23" s="21">
        <f t="shared" si="24"/>
        <v>15308.969142857142</v>
      </c>
      <c r="AO23" s="21">
        <f t="shared" si="12"/>
        <v>4444.539428571429</v>
      </c>
      <c r="AP23" s="21">
        <f t="shared" si="13"/>
        <v>3209.945142857143</v>
      </c>
      <c r="AQ23" s="21">
        <f t="shared" si="14"/>
        <v>3580.3234285714284</v>
      </c>
      <c r="AR23" s="21">
        <f t="shared" si="15"/>
        <v>1604.9725714285714</v>
      </c>
      <c r="AS23" s="22">
        <f t="shared" si="16"/>
        <v>29833.969714285715</v>
      </c>
      <c r="AT23" s="21">
        <f t="shared" si="25"/>
        <v>16204.05</v>
      </c>
      <c r="AU23" s="21">
        <f t="shared" si="26"/>
        <v>46038.019714285714</v>
      </c>
      <c r="AV23" s="9" t="s">
        <v>26</v>
      </c>
    </row>
    <row r="24" spans="1:48" ht="21" customHeight="1">
      <c r="A24" s="26">
        <v>19</v>
      </c>
      <c r="B24" s="9" t="s">
        <v>27</v>
      </c>
      <c r="C24" s="11">
        <v>375.4</v>
      </c>
      <c r="D24" s="87">
        <f t="shared" si="17"/>
        <v>5.8</v>
      </c>
      <c r="E24" s="87">
        <v>0.39</v>
      </c>
      <c r="F24" s="87"/>
      <c r="G24" s="87">
        <v>3.72</v>
      </c>
      <c r="H24" s="87">
        <v>1.08</v>
      </c>
      <c r="I24" s="87">
        <v>0.78</v>
      </c>
      <c r="J24" s="87">
        <v>0.87</v>
      </c>
      <c r="K24" s="87">
        <v>0.39</v>
      </c>
      <c r="L24" s="109">
        <f t="shared" si="29"/>
        <v>13.030000000000001</v>
      </c>
      <c r="M24" s="5">
        <v>3.75</v>
      </c>
      <c r="N24" s="196">
        <v>16.78</v>
      </c>
      <c r="O24" s="13">
        <f t="shared" si="18"/>
        <v>13063.916000000003</v>
      </c>
      <c r="P24" s="13">
        <v>878.44</v>
      </c>
      <c r="Q24" s="13">
        <f t="shared" si="27"/>
        <v>0</v>
      </c>
      <c r="R24" s="13">
        <f t="shared" si="19"/>
        <v>8378.928</v>
      </c>
      <c r="S24" s="13">
        <f t="shared" si="1"/>
        <v>2432.592</v>
      </c>
      <c r="T24" s="13">
        <f t="shared" si="2"/>
        <v>1756.872</v>
      </c>
      <c r="U24" s="13">
        <f t="shared" si="3"/>
        <v>1959.588</v>
      </c>
      <c r="V24" s="13">
        <f t="shared" si="4"/>
        <v>878.436</v>
      </c>
      <c r="W24" s="113">
        <f t="shared" si="5"/>
        <v>29348.772000000004</v>
      </c>
      <c r="X24" s="113">
        <f t="shared" si="6"/>
        <v>8446.5</v>
      </c>
      <c r="Y24" s="43">
        <v>37795.2</v>
      </c>
      <c r="Z24" s="15">
        <f t="shared" si="20"/>
        <v>8237.002455871067</v>
      </c>
      <c r="AA24" s="13">
        <v>878.44</v>
      </c>
      <c r="AB24" s="13">
        <f t="shared" si="28"/>
        <v>0</v>
      </c>
      <c r="AC24" s="13">
        <f t="shared" si="21"/>
        <v>5478.101120491175</v>
      </c>
      <c r="AD24" s="13">
        <f t="shared" si="7"/>
        <v>1590.4164543361476</v>
      </c>
      <c r="AE24" s="13">
        <f t="shared" si="8"/>
        <v>1148.6341059094398</v>
      </c>
      <c r="AF24" s="13">
        <f t="shared" si="9"/>
        <v>1281.168810437452</v>
      </c>
      <c r="AG24" s="13">
        <f t="shared" si="10"/>
        <v>574.3170529547199</v>
      </c>
      <c r="AH24" s="155">
        <f t="shared" si="22"/>
        <v>19188.08</v>
      </c>
      <c r="AI24" s="113">
        <f t="shared" si="23"/>
        <v>8446.5</v>
      </c>
      <c r="AJ24" s="43">
        <v>27634.58</v>
      </c>
      <c r="AK24" s="21">
        <v>13627.4</v>
      </c>
      <c r="AL24" s="13">
        <v>878.44</v>
      </c>
      <c r="AM24" s="21">
        <f t="shared" si="11"/>
        <v>0</v>
      </c>
      <c r="AN24" s="21">
        <f t="shared" si="24"/>
        <v>7979.931428571428</v>
      </c>
      <c r="AO24" s="21">
        <f t="shared" si="12"/>
        <v>2316.7542857142857</v>
      </c>
      <c r="AP24" s="21">
        <f t="shared" si="13"/>
        <v>1673.2114285714285</v>
      </c>
      <c r="AQ24" s="21">
        <f t="shared" si="14"/>
        <v>1866.2742857142855</v>
      </c>
      <c r="AR24" s="21">
        <f t="shared" si="15"/>
        <v>836.6057142857143</v>
      </c>
      <c r="AS24" s="22">
        <f t="shared" si="16"/>
        <v>29178.61714285714</v>
      </c>
      <c r="AT24" s="21">
        <f t="shared" si="25"/>
        <v>8446.5</v>
      </c>
      <c r="AU24" s="21">
        <f t="shared" si="26"/>
        <v>37625.11714285714</v>
      </c>
      <c r="AV24" s="9" t="s">
        <v>27</v>
      </c>
    </row>
    <row r="25" spans="1:48" ht="21" customHeight="1">
      <c r="A25" s="26">
        <v>20</v>
      </c>
      <c r="B25" s="9" t="s">
        <v>28</v>
      </c>
      <c r="C25" s="11">
        <v>366.6</v>
      </c>
      <c r="D25" s="87">
        <f t="shared" si="17"/>
        <v>5.8</v>
      </c>
      <c r="E25" s="87">
        <v>0.39</v>
      </c>
      <c r="F25" s="87"/>
      <c r="G25" s="87">
        <v>3.72</v>
      </c>
      <c r="H25" s="87">
        <v>1.08</v>
      </c>
      <c r="I25" s="87">
        <v>0.78</v>
      </c>
      <c r="J25" s="87">
        <v>0.87</v>
      </c>
      <c r="K25" s="87">
        <v>0.39</v>
      </c>
      <c r="L25" s="109">
        <f t="shared" si="29"/>
        <v>13.030000000000001</v>
      </c>
      <c r="M25" s="5">
        <v>3.75</v>
      </c>
      <c r="N25" s="196">
        <v>16.78</v>
      </c>
      <c r="O25" s="13">
        <f t="shared" si="18"/>
        <v>12757.684000000008</v>
      </c>
      <c r="P25" s="13">
        <v>857.84</v>
      </c>
      <c r="Q25" s="13">
        <f t="shared" si="27"/>
        <v>0</v>
      </c>
      <c r="R25" s="13">
        <f t="shared" si="19"/>
        <v>8182.512</v>
      </c>
      <c r="S25" s="13">
        <f t="shared" si="1"/>
        <v>2375.568</v>
      </c>
      <c r="T25" s="13">
        <f t="shared" si="2"/>
        <v>1715.6879999999999</v>
      </c>
      <c r="U25" s="13">
        <f t="shared" si="3"/>
        <v>1913.6519999999998</v>
      </c>
      <c r="V25" s="13">
        <f t="shared" si="4"/>
        <v>857.8439999999999</v>
      </c>
      <c r="W25" s="113">
        <f t="shared" si="5"/>
        <v>28660.788000000004</v>
      </c>
      <c r="X25" s="113">
        <f t="shared" si="6"/>
        <v>8248.5</v>
      </c>
      <c r="Y25" s="43">
        <v>36909.3</v>
      </c>
      <c r="Z25" s="15">
        <f t="shared" si="20"/>
        <v>8959.965556408293</v>
      </c>
      <c r="AA25" s="13">
        <v>857.84</v>
      </c>
      <c r="AB25" s="13">
        <f t="shared" si="28"/>
        <v>0</v>
      </c>
      <c r="AC25" s="13">
        <f t="shared" si="21"/>
        <v>5900.199785111282</v>
      </c>
      <c r="AD25" s="13">
        <f t="shared" si="7"/>
        <v>1712.9612279355333</v>
      </c>
      <c r="AE25" s="13">
        <f t="shared" si="8"/>
        <v>1237.1386646201074</v>
      </c>
      <c r="AF25" s="13">
        <f t="shared" si="9"/>
        <v>1379.8854336147351</v>
      </c>
      <c r="AG25" s="13">
        <f t="shared" si="10"/>
        <v>618.5693323100537</v>
      </c>
      <c r="AH25" s="155">
        <f t="shared" si="22"/>
        <v>20666.56</v>
      </c>
      <c r="AI25" s="113">
        <f t="shared" si="23"/>
        <v>8248.5</v>
      </c>
      <c r="AJ25" s="43">
        <v>28915.06</v>
      </c>
      <c r="AK25" s="21">
        <v>0</v>
      </c>
      <c r="AL25" s="13">
        <v>857.84</v>
      </c>
      <c r="AM25" s="21">
        <f t="shared" si="11"/>
        <v>0</v>
      </c>
      <c r="AN25" s="21">
        <f t="shared" si="24"/>
        <v>7792.868571428571</v>
      </c>
      <c r="AO25" s="21">
        <f t="shared" si="12"/>
        <v>2262.4457142857145</v>
      </c>
      <c r="AP25" s="21">
        <f t="shared" si="13"/>
        <v>1633.9885714285713</v>
      </c>
      <c r="AQ25" s="21">
        <f t="shared" si="14"/>
        <v>1822.525714285714</v>
      </c>
      <c r="AR25" s="21">
        <f t="shared" si="15"/>
        <v>816.9942857142856</v>
      </c>
      <c r="AS25" s="22">
        <f t="shared" si="16"/>
        <v>15186.662857142856</v>
      </c>
      <c r="AT25" s="21">
        <f t="shared" si="25"/>
        <v>8248.5</v>
      </c>
      <c r="AU25" s="21">
        <f t="shared" si="26"/>
        <v>23435.162857142856</v>
      </c>
      <c r="AV25" s="9" t="s">
        <v>28</v>
      </c>
    </row>
    <row r="26" spans="1:48" ht="21" customHeight="1">
      <c r="A26" s="26">
        <v>21</v>
      </c>
      <c r="B26" s="9" t="s">
        <v>29</v>
      </c>
      <c r="C26" s="11">
        <v>723.38</v>
      </c>
      <c r="D26" s="87">
        <f t="shared" si="17"/>
        <v>5.8</v>
      </c>
      <c r="E26" s="87">
        <v>0.39</v>
      </c>
      <c r="F26" s="87"/>
      <c r="G26" s="87">
        <v>3.72</v>
      </c>
      <c r="H26" s="87">
        <v>1.08</v>
      </c>
      <c r="I26" s="87">
        <v>0.78</v>
      </c>
      <c r="J26" s="87">
        <v>0.87</v>
      </c>
      <c r="K26" s="87">
        <v>0.39</v>
      </c>
      <c r="L26" s="109">
        <f t="shared" si="29"/>
        <v>13.030000000000001</v>
      </c>
      <c r="M26" s="5">
        <v>3.75</v>
      </c>
      <c r="N26" s="196">
        <v>16.78</v>
      </c>
      <c r="O26" s="13">
        <f t="shared" si="18"/>
        <v>25171.37320000001</v>
      </c>
      <c r="P26" s="13">
        <v>1694.96</v>
      </c>
      <c r="Q26" s="13">
        <f t="shared" si="27"/>
        <v>0</v>
      </c>
      <c r="R26" s="13">
        <f t="shared" si="19"/>
        <v>16145.8416</v>
      </c>
      <c r="S26" s="13">
        <f t="shared" si="1"/>
        <v>4687.5024</v>
      </c>
      <c r="T26" s="13">
        <f t="shared" si="2"/>
        <v>3385.4184</v>
      </c>
      <c r="U26" s="13">
        <f t="shared" si="3"/>
        <v>3776.0436</v>
      </c>
      <c r="V26" s="13">
        <f t="shared" si="4"/>
        <v>1692.7092</v>
      </c>
      <c r="W26" s="113">
        <f t="shared" si="5"/>
        <v>56553.8484</v>
      </c>
      <c r="X26" s="113">
        <f t="shared" si="6"/>
        <v>16276.050000000001</v>
      </c>
      <c r="Y26" s="43">
        <v>72931.56</v>
      </c>
      <c r="Z26" s="15">
        <f t="shared" si="20"/>
        <v>29168.199478127393</v>
      </c>
      <c r="AA26" s="13">
        <v>1694.96</v>
      </c>
      <c r="AB26" s="13">
        <f t="shared" si="28"/>
        <v>0</v>
      </c>
      <c r="AC26" s="13">
        <f t="shared" si="21"/>
        <v>18547.811511895623</v>
      </c>
      <c r="AD26" s="13">
        <f t="shared" si="7"/>
        <v>5384.848503453569</v>
      </c>
      <c r="AE26" s="13">
        <f t="shared" si="8"/>
        <v>3889.057252494244</v>
      </c>
      <c r="AF26" s="13">
        <f t="shared" si="9"/>
        <v>4337.794627782041</v>
      </c>
      <c r="AG26" s="13">
        <f t="shared" si="10"/>
        <v>1944.528626247122</v>
      </c>
      <c r="AH26" s="155">
        <f t="shared" si="22"/>
        <v>64967.2</v>
      </c>
      <c r="AI26" s="113">
        <f t="shared" si="23"/>
        <v>16276.050000000001</v>
      </c>
      <c r="AJ26" s="43">
        <v>81243.25</v>
      </c>
      <c r="AK26" s="21">
        <v>1222.7</v>
      </c>
      <c r="AL26" s="13">
        <v>1694.96</v>
      </c>
      <c r="AM26" s="21">
        <f t="shared" si="11"/>
        <v>0</v>
      </c>
      <c r="AN26" s="21">
        <f t="shared" si="24"/>
        <v>15376.991999999998</v>
      </c>
      <c r="AO26" s="21">
        <f t="shared" si="12"/>
        <v>4464.2880000000005</v>
      </c>
      <c r="AP26" s="21">
        <f t="shared" si="13"/>
        <v>3224.208</v>
      </c>
      <c r="AQ26" s="21">
        <f t="shared" si="14"/>
        <v>3596.232</v>
      </c>
      <c r="AR26" s="21">
        <f t="shared" si="15"/>
        <v>1612.104</v>
      </c>
      <c r="AS26" s="22">
        <f t="shared" si="16"/>
        <v>31191.483999999997</v>
      </c>
      <c r="AT26" s="21">
        <f t="shared" si="25"/>
        <v>16276.050000000001</v>
      </c>
      <c r="AU26" s="21">
        <f t="shared" si="26"/>
        <v>47467.534</v>
      </c>
      <c r="AV26" s="9" t="s">
        <v>29</v>
      </c>
    </row>
    <row r="27" spans="1:48" ht="21" customHeight="1">
      <c r="A27" s="26">
        <v>22</v>
      </c>
      <c r="B27" s="9" t="s">
        <v>59</v>
      </c>
      <c r="C27" s="11">
        <v>736.1</v>
      </c>
      <c r="D27" s="87">
        <f t="shared" si="17"/>
        <v>5.87</v>
      </c>
      <c r="E27" s="87">
        <v>0.32</v>
      </c>
      <c r="F27" s="87"/>
      <c r="G27" s="87">
        <v>3.72</v>
      </c>
      <c r="H27" s="87">
        <v>1.08</v>
      </c>
      <c r="I27" s="87">
        <v>0.78</v>
      </c>
      <c r="J27" s="87">
        <v>0.87</v>
      </c>
      <c r="K27" s="87">
        <v>0.39</v>
      </c>
      <c r="L27" s="109">
        <f t="shared" si="29"/>
        <v>13.030000000000001</v>
      </c>
      <c r="M27" s="5">
        <v>3.75</v>
      </c>
      <c r="N27" s="196">
        <v>16.78</v>
      </c>
      <c r="O27" s="13">
        <f t="shared" si="18"/>
        <v>25906.34400000001</v>
      </c>
      <c r="P27" s="13">
        <v>1432.41</v>
      </c>
      <c r="Q27" s="13">
        <f t="shared" si="27"/>
        <v>0</v>
      </c>
      <c r="R27" s="13">
        <f t="shared" si="19"/>
        <v>16429.752</v>
      </c>
      <c r="S27" s="13">
        <f t="shared" si="1"/>
        <v>4769.928000000001</v>
      </c>
      <c r="T27" s="13">
        <f t="shared" si="2"/>
        <v>3444.9480000000003</v>
      </c>
      <c r="U27" s="13">
        <f t="shared" si="3"/>
        <v>3842.4420000000005</v>
      </c>
      <c r="V27" s="13">
        <f t="shared" si="4"/>
        <v>1722.4740000000002</v>
      </c>
      <c r="W27" s="113">
        <f t="shared" si="5"/>
        <v>57548.29800000001</v>
      </c>
      <c r="X27" s="113">
        <f t="shared" si="6"/>
        <v>16562.25</v>
      </c>
      <c r="Y27" s="43">
        <v>74139.12</v>
      </c>
      <c r="Z27" s="15">
        <f t="shared" si="20"/>
        <v>23955.44507290868</v>
      </c>
      <c r="AA27" s="13">
        <v>1432.41</v>
      </c>
      <c r="AB27" s="13">
        <f t="shared" si="28"/>
        <v>0</v>
      </c>
      <c r="AC27" s="13">
        <f t="shared" si="21"/>
        <v>15257.32162701458</v>
      </c>
      <c r="AD27" s="13">
        <f t="shared" si="7"/>
        <v>4429.544988488104</v>
      </c>
      <c r="AE27" s="13">
        <f t="shared" si="8"/>
        <v>3199.115825019186</v>
      </c>
      <c r="AF27" s="13">
        <f t="shared" si="9"/>
        <v>3568.2445740598614</v>
      </c>
      <c r="AG27" s="13">
        <f t="shared" si="10"/>
        <v>1599.557912509593</v>
      </c>
      <c r="AH27" s="155">
        <f t="shared" si="22"/>
        <v>53441.64</v>
      </c>
      <c r="AI27" s="113">
        <f t="shared" si="23"/>
        <v>16562.25</v>
      </c>
      <c r="AJ27" s="43">
        <v>70003.89</v>
      </c>
      <c r="AK27" s="21">
        <v>0</v>
      </c>
      <c r="AL27" s="13">
        <v>1432.41</v>
      </c>
      <c r="AM27" s="21">
        <f t="shared" si="11"/>
        <v>0</v>
      </c>
      <c r="AN27" s="21">
        <f t="shared" si="24"/>
        <v>15647.382857142857</v>
      </c>
      <c r="AO27" s="21">
        <f t="shared" si="12"/>
        <v>4542.788571428572</v>
      </c>
      <c r="AP27" s="21">
        <f t="shared" si="13"/>
        <v>3280.902857142857</v>
      </c>
      <c r="AQ27" s="21">
        <f t="shared" si="14"/>
        <v>3659.4685714285715</v>
      </c>
      <c r="AR27" s="21">
        <f t="shared" si="15"/>
        <v>1640.4514285714286</v>
      </c>
      <c r="AS27" s="22">
        <f t="shared" si="16"/>
        <v>30203.40428571429</v>
      </c>
      <c r="AT27" s="21">
        <f t="shared" si="25"/>
        <v>16562.25</v>
      </c>
      <c r="AU27" s="21">
        <f t="shared" si="26"/>
        <v>46765.65428571429</v>
      </c>
      <c r="AV27" s="9" t="s">
        <v>59</v>
      </c>
    </row>
    <row r="28" spans="1:48" ht="21" customHeight="1">
      <c r="A28" s="26">
        <v>23</v>
      </c>
      <c r="B28" s="9" t="s">
        <v>60</v>
      </c>
      <c r="C28" s="11">
        <v>721.5</v>
      </c>
      <c r="D28" s="87">
        <f t="shared" si="17"/>
        <v>5.590000000000001</v>
      </c>
      <c r="E28" s="87">
        <v>0.6</v>
      </c>
      <c r="F28" s="87"/>
      <c r="G28" s="87">
        <v>3.72</v>
      </c>
      <c r="H28" s="87">
        <v>1.08</v>
      </c>
      <c r="I28" s="87">
        <v>0.78</v>
      </c>
      <c r="J28" s="87">
        <v>0.87</v>
      </c>
      <c r="K28" s="87">
        <v>0.39</v>
      </c>
      <c r="L28" s="109">
        <f t="shared" si="29"/>
        <v>13.030000000000001</v>
      </c>
      <c r="M28" s="5">
        <v>3.75</v>
      </c>
      <c r="N28" s="196">
        <v>16.78</v>
      </c>
      <c r="O28" s="13">
        <f t="shared" si="18"/>
        <v>24203.76</v>
      </c>
      <c r="P28" s="13">
        <v>2592.75</v>
      </c>
      <c r="Q28" s="13">
        <f t="shared" si="27"/>
        <v>0</v>
      </c>
      <c r="R28" s="13">
        <f t="shared" si="19"/>
        <v>16103.880000000001</v>
      </c>
      <c r="S28" s="13">
        <f t="shared" si="1"/>
        <v>4675.320000000001</v>
      </c>
      <c r="T28" s="13">
        <f t="shared" si="2"/>
        <v>3376.62</v>
      </c>
      <c r="U28" s="13">
        <f t="shared" si="3"/>
        <v>3766.23</v>
      </c>
      <c r="V28" s="13">
        <f t="shared" si="4"/>
        <v>1688.31</v>
      </c>
      <c r="W28" s="113">
        <f t="shared" si="5"/>
        <v>56406.87</v>
      </c>
      <c r="X28" s="113">
        <f t="shared" si="6"/>
        <v>16233.75</v>
      </c>
      <c r="Y28" s="43">
        <v>72632.28</v>
      </c>
      <c r="Z28" s="15">
        <f t="shared" si="20"/>
        <v>31539.271043745204</v>
      </c>
      <c r="AA28" s="13">
        <v>2592.75</v>
      </c>
      <c r="AB28" s="13">
        <f t="shared" si="28"/>
        <v>0</v>
      </c>
      <c r="AC28" s="13">
        <f t="shared" si="21"/>
        <v>20512.296976208745</v>
      </c>
      <c r="AD28" s="13">
        <f t="shared" si="7"/>
        <v>5955.1829930928625</v>
      </c>
      <c r="AE28" s="13">
        <f t="shared" si="8"/>
        <v>4300.965495011511</v>
      </c>
      <c r="AF28" s="13">
        <f t="shared" si="9"/>
        <v>4797.230744435917</v>
      </c>
      <c r="AG28" s="13">
        <f t="shared" si="10"/>
        <v>2150.4827475057555</v>
      </c>
      <c r="AH28" s="155">
        <f t="shared" si="22"/>
        <v>71848.18</v>
      </c>
      <c r="AI28" s="113">
        <f t="shared" si="23"/>
        <v>16233.75</v>
      </c>
      <c r="AJ28" s="43">
        <v>88081.93</v>
      </c>
      <c r="AK28" s="21">
        <v>0</v>
      </c>
      <c r="AL28" s="13">
        <v>2592.75</v>
      </c>
      <c r="AM28" s="21">
        <f t="shared" si="11"/>
        <v>0</v>
      </c>
      <c r="AN28" s="21">
        <f t="shared" si="24"/>
        <v>15337.028571428571</v>
      </c>
      <c r="AO28" s="21">
        <f t="shared" si="12"/>
        <v>4452.685714285714</v>
      </c>
      <c r="AP28" s="21">
        <f t="shared" si="13"/>
        <v>3215.828571428571</v>
      </c>
      <c r="AQ28" s="21">
        <f t="shared" si="14"/>
        <v>3586.885714285714</v>
      </c>
      <c r="AR28" s="21">
        <f t="shared" si="15"/>
        <v>1607.9142857142856</v>
      </c>
      <c r="AS28" s="22">
        <f t="shared" si="16"/>
        <v>30793.09285714286</v>
      </c>
      <c r="AT28" s="21">
        <f t="shared" si="25"/>
        <v>16233.75</v>
      </c>
      <c r="AU28" s="21">
        <f t="shared" si="26"/>
        <v>47026.84285714286</v>
      </c>
      <c r="AV28" s="9" t="s">
        <v>60</v>
      </c>
    </row>
    <row r="29" spans="1:48" ht="21" customHeight="1">
      <c r="A29" s="26">
        <v>24</v>
      </c>
      <c r="B29" s="9" t="s">
        <v>30</v>
      </c>
      <c r="C29" s="11">
        <v>742.94</v>
      </c>
      <c r="D29" s="87">
        <f t="shared" si="17"/>
        <v>5.8</v>
      </c>
      <c r="E29" s="87">
        <v>0.39</v>
      </c>
      <c r="F29" s="87"/>
      <c r="G29" s="87">
        <v>3.72</v>
      </c>
      <c r="H29" s="87">
        <v>1.08</v>
      </c>
      <c r="I29" s="87">
        <v>0.78</v>
      </c>
      <c r="J29" s="87">
        <v>0.87</v>
      </c>
      <c r="K29" s="87">
        <v>0.39</v>
      </c>
      <c r="L29" s="109">
        <f t="shared" si="29"/>
        <v>13.030000000000001</v>
      </c>
      <c r="M29" s="5">
        <v>3.75</v>
      </c>
      <c r="N29" s="196">
        <v>16.78</v>
      </c>
      <c r="O29" s="13">
        <f t="shared" si="18"/>
        <v>25854.31160000001</v>
      </c>
      <c r="P29" s="13">
        <v>1738.48</v>
      </c>
      <c r="Q29" s="13">
        <f t="shared" si="27"/>
        <v>0</v>
      </c>
      <c r="R29" s="13">
        <f t="shared" si="19"/>
        <v>16582.420800000004</v>
      </c>
      <c r="S29" s="13">
        <f t="shared" si="1"/>
        <v>4814.251200000001</v>
      </c>
      <c r="T29" s="13">
        <f t="shared" si="2"/>
        <v>3476.9592000000002</v>
      </c>
      <c r="U29" s="13">
        <f t="shared" si="3"/>
        <v>3878.1468000000004</v>
      </c>
      <c r="V29" s="13">
        <f t="shared" si="4"/>
        <v>1738.4796000000001</v>
      </c>
      <c r="W29" s="113">
        <f t="shared" si="5"/>
        <v>58083.04920000001</v>
      </c>
      <c r="X29" s="113">
        <f t="shared" si="6"/>
        <v>16716.15</v>
      </c>
      <c r="Y29" s="43">
        <v>74915.04</v>
      </c>
      <c r="Z29" s="15">
        <f t="shared" si="20"/>
        <v>34271.17754412892</v>
      </c>
      <c r="AA29" s="13">
        <v>1738.48</v>
      </c>
      <c r="AB29" s="13">
        <f t="shared" si="28"/>
        <v>0</v>
      </c>
      <c r="AC29" s="13">
        <f t="shared" si="21"/>
        <v>21640.698879508825</v>
      </c>
      <c r="AD29" s="13">
        <f t="shared" si="7"/>
        <v>6282.783545663852</v>
      </c>
      <c r="AE29" s="13">
        <f t="shared" si="8"/>
        <v>4537.56589409056</v>
      </c>
      <c r="AF29" s="13">
        <f t="shared" si="9"/>
        <v>5061.131189562548</v>
      </c>
      <c r="AG29" s="13">
        <f t="shared" si="10"/>
        <v>2268.78294704528</v>
      </c>
      <c r="AH29" s="155">
        <f t="shared" si="22"/>
        <v>75800.62</v>
      </c>
      <c r="AI29" s="113">
        <f t="shared" si="23"/>
        <v>16716.15</v>
      </c>
      <c r="AJ29" s="43">
        <v>92516.77</v>
      </c>
      <c r="AK29" s="21">
        <v>0</v>
      </c>
      <c r="AL29" s="13">
        <v>1738.48</v>
      </c>
      <c r="AM29" s="21">
        <f t="shared" si="11"/>
        <v>0</v>
      </c>
      <c r="AN29" s="21">
        <f t="shared" si="24"/>
        <v>15792.781714285717</v>
      </c>
      <c r="AO29" s="21">
        <f t="shared" si="12"/>
        <v>4585.001142857143</v>
      </c>
      <c r="AP29" s="21">
        <f t="shared" si="13"/>
        <v>3311.3897142857145</v>
      </c>
      <c r="AQ29" s="21">
        <f t="shared" si="14"/>
        <v>3693.473142857143</v>
      </c>
      <c r="AR29" s="21">
        <f t="shared" si="15"/>
        <v>1655.6948571428572</v>
      </c>
      <c r="AS29" s="22">
        <f t="shared" si="16"/>
        <v>30776.820571428572</v>
      </c>
      <c r="AT29" s="21">
        <f t="shared" si="25"/>
        <v>16716.15</v>
      </c>
      <c r="AU29" s="21">
        <f t="shared" si="26"/>
        <v>47492.970571428574</v>
      </c>
      <c r="AV29" s="9" t="s">
        <v>30</v>
      </c>
    </row>
    <row r="30" spans="1:48" ht="21" customHeight="1">
      <c r="A30" s="26">
        <v>25</v>
      </c>
      <c r="B30" s="9" t="s">
        <v>31</v>
      </c>
      <c r="C30" s="11">
        <v>731.55</v>
      </c>
      <c r="D30" s="87">
        <f t="shared" si="17"/>
        <v>5.8</v>
      </c>
      <c r="E30" s="87">
        <v>0.39</v>
      </c>
      <c r="F30" s="87"/>
      <c r="G30" s="87">
        <v>3.72</v>
      </c>
      <c r="H30" s="87">
        <v>1.08</v>
      </c>
      <c r="I30" s="87">
        <v>0.78</v>
      </c>
      <c r="J30" s="87">
        <v>0.87</v>
      </c>
      <c r="K30" s="87">
        <v>0.39</v>
      </c>
      <c r="L30" s="109">
        <f t="shared" si="29"/>
        <v>13.030000000000001</v>
      </c>
      <c r="M30" s="5">
        <v>3.75</v>
      </c>
      <c r="N30" s="196">
        <v>16.78</v>
      </c>
      <c r="O30" s="13">
        <f t="shared" si="18"/>
        <v>25456.067000000006</v>
      </c>
      <c r="P30" s="13">
        <v>1713.7</v>
      </c>
      <c r="Q30" s="13">
        <f t="shared" si="27"/>
        <v>0</v>
      </c>
      <c r="R30" s="13">
        <f t="shared" si="19"/>
        <v>16328.195999999998</v>
      </c>
      <c r="S30" s="13">
        <f t="shared" si="1"/>
        <v>4740.4439999999995</v>
      </c>
      <c r="T30" s="13">
        <f t="shared" si="2"/>
        <v>3423.6539999999995</v>
      </c>
      <c r="U30" s="13">
        <f t="shared" si="3"/>
        <v>3818.6909999999993</v>
      </c>
      <c r="V30" s="13">
        <f t="shared" si="4"/>
        <v>1711.8269999999998</v>
      </c>
      <c r="W30" s="113">
        <f t="shared" si="5"/>
        <v>57192.579</v>
      </c>
      <c r="X30" s="113">
        <f t="shared" si="6"/>
        <v>16459.875</v>
      </c>
      <c r="Y30" s="43">
        <v>73653.42</v>
      </c>
      <c r="Z30" s="15">
        <f t="shared" si="20"/>
        <v>22470.679881043743</v>
      </c>
      <c r="AA30" s="13">
        <v>1713.7</v>
      </c>
      <c r="AB30" s="13">
        <f t="shared" si="28"/>
        <v>0</v>
      </c>
      <c r="AC30" s="13">
        <f t="shared" si="21"/>
        <v>14534.069976976209</v>
      </c>
      <c r="AD30" s="13">
        <f t="shared" si="7"/>
        <v>4219.568702993093</v>
      </c>
      <c r="AE30" s="13">
        <f t="shared" si="8"/>
        <v>3047.4662854950116</v>
      </c>
      <c r="AF30" s="13">
        <f t="shared" si="9"/>
        <v>3399.097010744436</v>
      </c>
      <c r="AG30" s="13">
        <f t="shared" si="10"/>
        <v>1523.7331427475058</v>
      </c>
      <c r="AH30" s="155">
        <f t="shared" si="22"/>
        <v>50908.315</v>
      </c>
      <c r="AI30" s="113">
        <f t="shared" si="23"/>
        <v>16459.875</v>
      </c>
      <c r="AJ30" s="43">
        <v>67368.19</v>
      </c>
      <c r="AK30" s="21">
        <v>0</v>
      </c>
      <c r="AL30" s="13">
        <v>1713.7</v>
      </c>
      <c r="AM30" s="21">
        <f t="shared" si="11"/>
        <v>0</v>
      </c>
      <c r="AN30" s="21">
        <f t="shared" si="24"/>
        <v>15550.662857142856</v>
      </c>
      <c r="AO30" s="21">
        <f t="shared" si="12"/>
        <v>4514.70857142857</v>
      </c>
      <c r="AP30" s="21">
        <f t="shared" si="13"/>
        <v>3260.6228571428564</v>
      </c>
      <c r="AQ30" s="21">
        <f t="shared" si="14"/>
        <v>3636.8485714285707</v>
      </c>
      <c r="AR30" s="21">
        <f t="shared" si="15"/>
        <v>1630.3114285714282</v>
      </c>
      <c r="AS30" s="22">
        <f t="shared" si="16"/>
        <v>30306.854285714286</v>
      </c>
      <c r="AT30" s="21">
        <f t="shared" si="25"/>
        <v>16459.875</v>
      </c>
      <c r="AU30" s="21">
        <f t="shared" si="26"/>
        <v>46766.72928571429</v>
      </c>
      <c r="AV30" s="9" t="s">
        <v>31</v>
      </c>
    </row>
    <row r="31" spans="1:48" ht="21" customHeight="1">
      <c r="A31" s="26">
        <v>26</v>
      </c>
      <c r="B31" s="9" t="s">
        <v>148</v>
      </c>
      <c r="C31" s="11">
        <v>731.5</v>
      </c>
      <c r="D31" s="87">
        <f t="shared" si="17"/>
        <v>5.8</v>
      </c>
      <c r="E31" s="87">
        <v>0.39</v>
      </c>
      <c r="F31" s="87"/>
      <c r="G31" s="87">
        <v>3.72</v>
      </c>
      <c r="H31" s="87">
        <v>1.08</v>
      </c>
      <c r="I31" s="87">
        <v>0.78</v>
      </c>
      <c r="J31" s="87">
        <v>0.87</v>
      </c>
      <c r="K31" s="87">
        <v>0.39</v>
      </c>
      <c r="L31" s="109">
        <f t="shared" si="29"/>
        <v>13.030000000000001</v>
      </c>
      <c r="M31" s="5">
        <v>3.75</v>
      </c>
      <c r="N31" s="196">
        <v>16.78</v>
      </c>
      <c r="O31" s="13">
        <f t="shared" si="18"/>
        <v>25456.20000000001</v>
      </c>
      <c r="P31" s="13">
        <v>1711.71</v>
      </c>
      <c r="Q31" s="13">
        <f t="shared" si="27"/>
        <v>0</v>
      </c>
      <c r="R31" s="13">
        <f t="shared" si="19"/>
        <v>16327.080000000004</v>
      </c>
      <c r="S31" s="13">
        <f t="shared" si="1"/>
        <v>4740.120000000002</v>
      </c>
      <c r="T31" s="13">
        <f t="shared" si="2"/>
        <v>3423.420000000001</v>
      </c>
      <c r="U31" s="13">
        <f t="shared" si="3"/>
        <v>3818.4300000000007</v>
      </c>
      <c r="V31" s="13">
        <f t="shared" si="4"/>
        <v>1711.7100000000005</v>
      </c>
      <c r="W31" s="113">
        <f t="shared" si="5"/>
        <v>57188.67000000001</v>
      </c>
      <c r="X31" s="113">
        <f t="shared" si="6"/>
        <v>16458.75</v>
      </c>
      <c r="Y31" s="43">
        <v>73647.54</v>
      </c>
      <c r="Z31" s="15">
        <f t="shared" si="20"/>
        <v>27320.62039907904</v>
      </c>
      <c r="AA31" s="13">
        <v>1711.71</v>
      </c>
      <c r="AB31" s="13">
        <f t="shared" si="28"/>
        <v>0</v>
      </c>
      <c r="AC31" s="13">
        <f t="shared" si="21"/>
        <v>17447.53943207981</v>
      </c>
      <c r="AD31" s="13">
        <f t="shared" si="7"/>
        <v>5065.414673829623</v>
      </c>
      <c r="AE31" s="13">
        <f t="shared" si="8"/>
        <v>3658.3550422102835</v>
      </c>
      <c r="AF31" s="13">
        <f t="shared" si="9"/>
        <v>4080.472931696085</v>
      </c>
      <c r="AG31" s="13">
        <f t="shared" si="10"/>
        <v>1829.1775211051418</v>
      </c>
      <c r="AH31" s="155">
        <f t="shared" si="22"/>
        <v>61113.28999999999</v>
      </c>
      <c r="AI31" s="113">
        <f t="shared" si="23"/>
        <v>16458.75</v>
      </c>
      <c r="AJ31" s="43">
        <v>77572.04</v>
      </c>
      <c r="AK31" s="21">
        <v>0</v>
      </c>
      <c r="AL31" s="13">
        <v>1711.71</v>
      </c>
      <c r="AM31" s="21">
        <f t="shared" si="11"/>
        <v>0</v>
      </c>
      <c r="AN31" s="21">
        <f t="shared" si="24"/>
        <v>15549.600000000002</v>
      </c>
      <c r="AO31" s="21">
        <f t="shared" si="12"/>
        <v>4514.4000000000015</v>
      </c>
      <c r="AP31" s="21">
        <f t="shared" si="13"/>
        <v>3260.400000000001</v>
      </c>
      <c r="AQ31" s="21">
        <f t="shared" si="14"/>
        <v>3636.6000000000004</v>
      </c>
      <c r="AR31" s="21">
        <f t="shared" si="15"/>
        <v>1630.2000000000005</v>
      </c>
      <c r="AS31" s="22">
        <f t="shared" si="16"/>
        <v>30302.910000000007</v>
      </c>
      <c r="AT31" s="21">
        <f t="shared" si="25"/>
        <v>16458.75</v>
      </c>
      <c r="AU31" s="21">
        <f t="shared" si="26"/>
        <v>46761.66</v>
      </c>
      <c r="AV31" s="9" t="s">
        <v>148</v>
      </c>
    </row>
    <row r="32" spans="1:48" ht="21" customHeight="1">
      <c r="A32" s="26">
        <v>27</v>
      </c>
      <c r="B32" s="9" t="s">
        <v>147</v>
      </c>
      <c r="C32" s="11">
        <v>296.9</v>
      </c>
      <c r="D32" s="87">
        <f t="shared" si="17"/>
        <v>0.7799999999999981</v>
      </c>
      <c r="E32" s="87">
        <v>0.39</v>
      </c>
      <c r="F32" s="87">
        <v>7.55</v>
      </c>
      <c r="G32" s="87">
        <v>3.72</v>
      </c>
      <c r="H32" s="87">
        <v>1.08</v>
      </c>
      <c r="I32" s="87">
        <v>0.78</v>
      </c>
      <c r="J32" s="87">
        <v>0.87</v>
      </c>
      <c r="K32" s="87">
        <v>0.39</v>
      </c>
      <c r="L32" s="109">
        <f t="shared" si="29"/>
        <v>15.559999999999999</v>
      </c>
      <c r="M32" s="5">
        <v>3.75</v>
      </c>
      <c r="N32" s="196">
        <v>19.31</v>
      </c>
      <c r="O32" s="13">
        <f t="shared" si="18"/>
        <v>1389.4880000000012</v>
      </c>
      <c r="P32" s="13">
        <v>694.75</v>
      </c>
      <c r="Q32" s="36">
        <f>W32/15.56*7.55</f>
        <v>13449.569999999996</v>
      </c>
      <c r="R32" s="13">
        <f t="shared" si="19"/>
        <v>6626.808</v>
      </c>
      <c r="S32" s="13">
        <f t="shared" si="1"/>
        <v>1923.912</v>
      </c>
      <c r="T32" s="13">
        <f t="shared" si="2"/>
        <v>1389.492</v>
      </c>
      <c r="U32" s="13">
        <f t="shared" si="3"/>
        <v>1549.818</v>
      </c>
      <c r="V32" s="13">
        <f t="shared" si="4"/>
        <v>694.746</v>
      </c>
      <c r="W32" s="113">
        <f t="shared" si="5"/>
        <v>27718.583999999995</v>
      </c>
      <c r="X32" s="113">
        <f t="shared" si="6"/>
        <v>6680.25</v>
      </c>
      <c r="Y32" s="43">
        <v>43412.94</v>
      </c>
      <c r="Z32" s="15">
        <f t="shared" si="20"/>
        <v>2222.9465231362483</v>
      </c>
      <c r="AA32" s="13">
        <v>694.75</v>
      </c>
      <c r="AB32" s="36">
        <f>AH32/15.56*7.55</f>
        <v>18827.87072622108</v>
      </c>
      <c r="AC32" s="13">
        <f t="shared" si="21"/>
        <v>9276.778688946017</v>
      </c>
      <c r="AD32" s="13">
        <f t="shared" si="7"/>
        <v>2693.2583290488437</v>
      </c>
      <c r="AE32" s="13">
        <f t="shared" si="8"/>
        <v>1945.1310154241648</v>
      </c>
      <c r="AF32" s="13">
        <f t="shared" si="9"/>
        <v>2169.5692095115683</v>
      </c>
      <c r="AG32" s="13">
        <f t="shared" si="10"/>
        <v>972.5655077120824</v>
      </c>
      <c r="AH32" s="155">
        <f t="shared" si="22"/>
        <v>38802.87</v>
      </c>
      <c r="AI32" s="113">
        <f t="shared" si="23"/>
        <v>6680.25</v>
      </c>
      <c r="AJ32" s="43">
        <v>45483.12</v>
      </c>
      <c r="AK32" s="21">
        <v>0</v>
      </c>
      <c r="AL32" s="13">
        <v>694.75</v>
      </c>
      <c r="AM32" s="21">
        <f>Q32</f>
        <v>13449.569999999996</v>
      </c>
      <c r="AN32" s="21">
        <f t="shared" si="24"/>
        <v>6311.245714285714</v>
      </c>
      <c r="AO32" s="21">
        <f t="shared" si="12"/>
        <v>1832.2971428571427</v>
      </c>
      <c r="AP32" s="21">
        <f t="shared" si="13"/>
        <v>1323.3257142857142</v>
      </c>
      <c r="AQ32" s="21">
        <f t="shared" si="14"/>
        <v>1476.0171428571427</v>
      </c>
      <c r="AR32" s="21">
        <f t="shared" si="15"/>
        <v>661.6628571428571</v>
      </c>
      <c r="AS32" s="22">
        <f t="shared" si="16"/>
        <v>25748.868571428564</v>
      </c>
      <c r="AT32" s="21">
        <f t="shared" si="25"/>
        <v>6680.25</v>
      </c>
      <c r="AU32" s="21">
        <f t="shared" si="26"/>
        <v>32429.118571428564</v>
      </c>
      <c r="AV32" s="9" t="s">
        <v>147</v>
      </c>
    </row>
    <row r="33" spans="1:48" ht="21" customHeight="1">
      <c r="A33" s="26">
        <v>28</v>
      </c>
      <c r="B33" s="9" t="s">
        <v>205</v>
      </c>
      <c r="C33" s="11">
        <v>922.8</v>
      </c>
      <c r="D33" s="87">
        <f t="shared" si="17"/>
        <v>5.309999999999998</v>
      </c>
      <c r="E33" s="87">
        <v>0.39</v>
      </c>
      <c r="F33" s="87"/>
      <c r="G33" s="87">
        <v>3.72</v>
      </c>
      <c r="H33" s="87">
        <v>1.08</v>
      </c>
      <c r="I33" s="87">
        <v>0.78</v>
      </c>
      <c r="J33" s="87">
        <v>0.87</v>
      </c>
      <c r="K33" s="87">
        <v>0.39</v>
      </c>
      <c r="L33" s="109">
        <f t="shared" si="29"/>
        <v>12.54</v>
      </c>
      <c r="M33" s="5">
        <v>3.75</v>
      </c>
      <c r="N33" s="196">
        <v>16.29</v>
      </c>
      <c r="O33" s="13">
        <f t="shared" si="18"/>
        <v>29400.409999999996</v>
      </c>
      <c r="P33" s="13">
        <v>2159.35</v>
      </c>
      <c r="Q33" s="36"/>
      <c r="R33" s="13">
        <f t="shared" si="19"/>
        <v>20596.896</v>
      </c>
      <c r="S33" s="13">
        <f t="shared" si="1"/>
        <v>5979.744000000001</v>
      </c>
      <c r="T33" s="13">
        <f t="shared" si="2"/>
        <v>4318.704000000001</v>
      </c>
      <c r="U33" s="13">
        <f t="shared" si="3"/>
        <v>4817.0160000000005</v>
      </c>
      <c r="V33" s="13">
        <f t="shared" si="4"/>
        <v>2159.3520000000003</v>
      </c>
      <c r="W33" s="113">
        <f t="shared" si="5"/>
        <v>69431.472</v>
      </c>
      <c r="X33" s="113">
        <f t="shared" si="6"/>
        <v>20763</v>
      </c>
      <c r="Y33" s="43">
        <v>82095.26</v>
      </c>
      <c r="Z33" s="15">
        <f t="shared" si="20"/>
        <v>30467.668181818175</v>
      </c>
      <c r="AA33" s="13">
        <v>2159.35</v>
      </c>
      <c r="AB33" s="36"/>
      <c r="AC33" s="13">
        <f t="shared" si="21"/>
        <v>21293.422392344502</v>
      </c>
      <c r="AD33" s="13">
        <f t="shared" si="7"/>
        <v>6181.96133971292</v>
      </c>
      <c r="AE33" s="13">
        <f t="shared" si="8"/>
        <v>4464.749856459331</v>
      </c>
      <c r="AF33" s="13">
        <f t="shared" si="9"/>
        <v>4979.913301435407</v>
      </c>
      <c r="AG33" s="13">
        <f t="shared" si="10"/>
        <v>2232.3749282296653</v>
      </c>
      <c r="AH33" s="155">
        <f t="shared" si="22"/>
        <v>71779.44</v>
      </c>
      <c r="AI33" s="113">
        <f t="shared" si="23"/>
        <v>20763</v>
      </c>
      <c r="AJ33" s="43">
        <v>92542.44</v>
      </c>
      <c r="AK33" s="21">
        <v>0</v>
      </c>
      <c r="AL33" s="13">
        <v>2159.35</v>
      </c>
      <c r="AM33" s="21"/>
      <c r="AN33" s="21">
        <f t="shared" si="24"/>
        <v>19616.091428571428</v>
      </c>
      <c r="AO33" s="21">
        <f t="shared" si="12"/>
        <v>5694.994285714286</v>
      </c>
      <c r="AP33" s="21">
        <f t="shared" si="13"/>
        <v>4113.051428571429</v>
      </c>
      <c r="AQ33" s="21">
        <f t="shared" si="14"/>
        <v>4587.634285714286</v>
      </c>
      <c r="AR33" s="21">
        <f t="shared" si="15"/>
        <v>2056.5257142857145</v>
      </c>
      <c r="AS33" s="22">
        <f t="shared" si="16"/>
        <v>38227.647142857146</v>
      </c>
      <c r="AT33" s="21">
        <f t="shared" si="25"/>
        <v>20763</v>
      </c>
      <c r="AU33" s="21">
        <f t="shared" si="26"/>
        <v>58990.647142857146</v>
      </c>
      <c r="AV33" s="9" t="s">
        <v>205</v>
      </c>
    </row>
    <row r="34" spans="1:48" ht="21" customHeight="1">
      <c r="A34" s="26">
        <v>29</v>
      </c>
      <c r="B34" s="9" t="s">
        <v>32</v>
      </c>
      <c r="C34" s="11">
        <v>368.33</v>
      </c>
      <c r="D34" s="87">
        <f t="shared" si="17"/>
        <v>4.78</v>
      </c>
      <c r="E34" s="87">
        <v>1.41</v>
      </c>
      <c r="F34" s="87"/>
      <c r="G34" s="87">
        <v>3.72</v>
      </c>
      <c r="H34" s="87">
        <v>1.08</v>
      </c>
      <c r="I34" s="87">
        <v>0.78</v>
      </c>
      <c r="J34" s="87">
        <v>0.87</v>
      </c>
      <c r="K34" s="87">
        <v>0.39</v>
      </c>
      <c r="L34" s="109">
        <f t="shared" si="29"/>
        <v>13.030000000000001</v>
      </c>
      <c r="M34" s="5">
        <v>3.75</v>
      </c>
      <c r="N34" s="196">
        <v>16.78</v>
      </c>
      <c r="O34" s="13">
        <f t="shared" si="18"/>
        <v>8563.276200000002</v>
      </c>
      <c r="P34" s="13">
        <v>5116.5</v>
      </c>
      <c r="Q34" s="13">
        <f>F34*C34*6</f>
        <v>0</v>
      </c>
      <c r="R34" s="13">
        <f t="shared" si="19"/>
        <v>8221.125600000001</v>
      </c>
      <c r="S34" s="13">
        <f t="shared" si="1"/>
        <v>2386.7784</v>
      </c>
      <c r="T34" s="13">
        <f t="shared" si="2"/>
        <v>1723.7844</v>
      </c>
      <c r="U34" s="13">
        <f t="shared" si="3"/>
        <v>1922.6826</v>
      </c>
      <c r="V34" s="13">
        <f t="shared" si="4"/>
        <v>861.8922</v>
      </c>
      <c r="W34" s="113">
        <f t="shared" si="5"/>
        <v>28796.0394</v>
      </c>
      <c r="X34" s="113">
        <f t="shared" si="6"/>
        <v>8287.425</v>
      </c>
      <c r="Y34" s="43">
        <v>37094.86</v>
      </c>
      <c r="Z34" s="15">
        <f t="shared" si="20"/>
        <v>-4448.799474290099</v>
      </c>
      <c r="AA34" s="13">
        <v>5116.5</v>
      </c>
      <c r="AB34" s="13">
        <f>Q34*M34*6</f>
        <v>0</v>
      </c>
      <c r="AC34" s="13">
        <f t="shared" si="21"/>
        <v>401.26752110514235</v>
      </c>
      <c r="AD34" s="13">
        <f t="shared" si="7"/>
        <v>116.49702225633165</v>
      </c>
      <c r="AE34" s="13">
        <f t="shared" si="8"/>
        <v>84.13673829623953</v>
      </c>
      <c r="AF34" s="13">
        <f t="shared" si="9"/>
        <v>93.84482348426715</v>
      </c>
      <c r="AG34" s="13">
        <f t="shared" si="10"/>
        <v>42.068369148119764</v>
      </c>
      <c r="AH34" s="155">
        <f t="shared" si="22"/>
        <v>1405.5150000000012</v>
      </c>
      <c r="AI34" s="113">
        <f t="shared" si="23"/>
        <v>8287.425</v>
      </c>
      <c r="AJ34" s="43">
        <v>9692.94</v>
      </c>
      <c r="AK34" s="21">
        <v>0</v>
      </c>
      <c r="AL34" s="13">
        <v>5116.5</v>
      </c>
      <c r="AM34" s="21">
        <f>Q34/1.05</f>
        <v>0</v>
      </c>
      <c r="AN34" s="21">
        <f t="shared" si="24"/>
        <v>7829.6434285714295</v>
      </c>
      <c r="AO34" s="21">
        <f t="shared" si="12"/>
        <v>2273.1222857142857</v>
      </c>
      <c r="AP34" s="21">
        <f t="shared" si="13"/>
        <v>1641.6994285714286</v>
      </c>
      <c r="AQ34" s="21">
        <f t="shared" si="14"/>
        <v>1831.1262857142858</v>
      </c>
      <c r="AR34" s="21">
        <f t="shared" si="15"/>
        <v>820.8497142857143</v>
      </c>
      <c r="AS34" s="22">
        <f t="shared" si="16"/>
        <v>19512.941142857147</v>
      </c>
      <c r="AT34" s="21">
        <f t="shared" si="25"/>
        <v>8287.425</v>
      </c>
      <c r="AU34" s="21">
        <f t="shared" si="26"/>
        <v>27800.366142857147</v>
      </c>
      <c r="AV34" s="9" t="s">
        <v>32</v>
      </c>
    </row>
    <row r="35" spans="1:48" ht="21" customHeight="1">
      <c r="A35" s="26">
        <v>30</v>
      </c>
      <c r="B35" s="9" t="s">
        <v>33</v>
      </c>
      <c r="C35" s="11">
        <v>373.19</v>
      </c>
      <c r="D35" s="87">
        <f t="shared" si="17"/>
        <v>5.920000000000001</v>
      </c>
      <c r="E35" s="87">
        <v>0.27</v>
      </c>
      <c r="F35" s="87"/>
      <c r="G35" s="87">
        <v>3.72</v>
      </c>
      <c r="H35" s="87">
        <v>1.08</v>
      </c>
      <c r="I35" s="87">
        <v>0.78</v>
      </c>
      <c r="J35" s="87">
        <v>0.87</v>
      </c>
      <c r="K35" s="87">
        <v>0.39</v>
      </c>
      <c r="L35" s="109">
        <f t="shared" si="29"/>
        <v>13.030000000000001</v>
      </c>
      <c r="M35" s="5">
        <v>3.75</v>
      </c>
      <c r="N35" s="196">
        <v>16.78</v>
      </c>
      <c r="O35" s="13">
        <f t="shared" si="18"/>
        <v>13221.7566</v>
      </c>
      <c r="P35" s="13">
        <v>638.52</v>
      </c>
      <c r="Q35" s="13">
        <f>F35*C35*6</f>
        <v>0</v>
      </c>
      <c r="R35" s="13">
        <f t="shared" si="19"/>
        <v>8329.6008</v>
      </c>
      <c r="S35" s="13">
        <f t="shared" si="1"/>
        <v>2418.2712</v>
      </c>
      <c r="T35" s="13">
        <f t="shared" si="2"/>
        <v>1746.5292</v>
      </c>
      <c r="U35" s="13">
        <f t="shared" si="3"/>
        <v>1948.0518</v>
      </c>
      <c r="V35" s="13">
        <f t="shared" si="4"/>
        <v>873.2646</v>
      </c>
      <c r="W35" s="113">
        <f t="shared" si="5"/>
        <v>29175.9942</v>
      </c>
      <c r="X35" s="113">
        <f t="shared" si="6"/>
        <v>8396.775000000001</v>
      </c>
      <c r="Y35" s="43">
        <v>37007.28</v>
      </c>
      <c r="Z35" s="15">
        <f t="shared" si="20"/>
        <v>13574.102421335378</v>
      </c>
      <c r="AA35" s="13">
        <v>638.52</v>
      </c>
      <c r="AB35" s="13">
        <f>Q35*M35*6</f>
        <v>0</v>
      </c>
      <c r="AC35" s="13">
        <f t="shared" si="21"/>
        <v>8541.349823484266</v>
      </c>
      <c r="AD35" s="13">
        <f t="shared" si="7"/>
        <v>2479.746722947045</v>
      </c>
      <c r="AE35" s="13">
        <f t="shared" si="8"/>
        <v>1790.928188795088</v>
      </c>
      <c r="AF35" s="13">
        <f t="shared" si="9"/>
        <v>1997.573749040675</v>
      </c>
      <c r="AG35" s="13">
        <f t="shared" si="10"/>
        <v>895.464094397544</v>
      </c>
      <c r="AH35" s="155">
        <f t="shared" si="22"/>
        <v>29917.684999999998</v>
      </c>
      <c r="AI35" s="113">
        <f t="shared" si="23"/>
        <v>8396.775000000001</v>
      </c>
      <c r="AJ35" s="43">
        <v>38314.46</v>
      </c>
      <c r="AK35" s="21">
        <v>1118.8</v>
      </c>
      <c r="AL35" s="13">
        <v>638.52</v>
      </c>
      <c r="AM35" s="21">
        <f>Q35/1.05</f>
        <v>0</v>
      </c>
      <c r="AN35" s="21">
        <f t="shared" si="24"/>
        <v>7932.953142857143</v>
      </c>
      <c r="AO35" s="21">
        <f t="shared" si="12"/>
        <v>2303.1154285714288</v>
      </c>
      <c r="AP35" s="21">
        <f t="shared" si="13"/>
        <v>1663.3611428571428</v>
      </c>
      <c r="AQ35" s="21">
        <f t="shared" si="14"/>
        <v>1855.2874285714286</v>
      </c>
      <c r="AR35" s="21">
        <f t="shared" si="15"/>
        <v>831.6805714285714</v>
      </c>
      <c r="AS35" s="22">
        <f t="shared" si="16"/>
        <v>16343.717714285713</v>
      </c>
      <c r="AT35" s="21">
        <f t="shared" si="25"/>
        <v>8396.775000000001</v>
      </c>
      <c r="AU35" s="21">
        <f t="shared" si="26"/>
        <v>24740.492714285712</v>
      </c>
      <c r="AV35" s="9" t="s">
        <v>33</v>
      </c>
    </row>
    <row r="36" spans="1:48" ht="12.75" customHeight="1">
      <c r="A36" s="23"/>
      <c r="B36" s="225" t="s">
        <v>0</v>
      </c>
      <c r="C36" s="225" t="s">
        <v>1</v>
      </c>
      <c r="D36" s="232" t="s">
        <v>8</v>
      </c>
      <c r="E36" s="233"/>
      <c r="F36" s="233"/>
      <c r="G36" s="233"/>
      <c r="H36" s="233"/>
      <c r="I36" s="233"/>
      <c r="J36" s="233"/>
      <c r="K36" s="233"/>
      <c r="L36" s="5"/>
      <c r="M36" s="237" t="s">
        <v>5</v>
      </c>
      <c r="N36" s="163"/>
      <c r="O36" s="232"/>
      <c r="P36" s="233"/>
      <c r="Q36" s="233"/>
      <c r="R36" s="233"/>
      <c r="S36" s="233"/>
      <c r="T36" s="233"/>
      <c r="U36" s="233"/>
      <c r="V36" s="233"/>
      <c r="W36" s="4"/>
      <c r="X36" s="241" t="s">
        <v>5</v>
      </c>
      <c r="Y36" s="198"/>
      <c r="Z36" s="227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9"/>
      <c r="AU36" s="62"/>
      <c r="AV36" s="225" t="s">
        <v>0</v>
      </c>
    </row>
    <row r="37" spans="1:48" ht="12.75" customHeight="1">
      <c r="A37" s="25"/>
      <c r="B37" s="226"/>
      <c r="C37" s="226"/>
      <c r="D37" s="238"/>
      <c r="E37" s="239"/>
      <c r="F37" s="239"/>
      <c r="G37" s="239"/>
      <c r="H37" s="239"/>
      <c r="I37" s="239"/>
      <c r="J37" s="239"/>
      <c r="K37" s="239"/>
      <c r="L37" s="5"/>
      <c r="M37" s="229"/>
      <c r="N37" s="81"/>
      <c r="O37" s="238"/>
      <c r="P37" s="239"/>
      <c r="Q37" s="239"/>
      <c r="R37" s="239"/>
      <c r="S37" s="239"/>
      <c r="T37" s="239"/>
      <c r="U37" s="239"/>
      <c r="V37" s="239"/>
      <c r="W37" s="4"/>
      <c r="X37" s="242"/>
      <c r="Y37" s="199"/>
      <c r="Z37" s="227" t="s">
        <v>82</v>
      </c>
      <c r="AA37" s="228"/>
      <c r="AB37" s="228"/>
      <c r="AC37" s="228"/>
      <c r="AD37" s="228"/>
      <c r="AE37" s="228"/>
      <c r="AF37" s="228"/>
      <c r="AG37" s="228"/>
      <c r="AH37" s="229"/>
      <c r="AI37" s="244" t="s">
        <v>5</v>
      </c>
      <c r="AJ37" s="200"/>
      <c r="AK37" s="227"/>
      <c r="AL37" s="228"/>
      <c r="AM37" s="228"/>
      <c r="AN37" s="228"/>
      <c r="AO37" s="228"/>
      <c r="AP37" s="228"/>
      <c r="AQ37" s="228"/>
      <c r="AR37" s="228"/>
      <c r="AS37" s="229"/>
      <c r="AT37" s="224" t="s">
        <v>5</v>
      </c>
      <c r="AU37" s="146"/>
      <c r="AV37" s="226"/>
    </row>
    <row r="38" spans="1:48" ht="92.25">
      <c r="A38" s="24" t="s">
        <v>65</v>
      </c>
      <c r="B38" s="230"/>
      <c r="C38" s="224"/>
      <c r="D38" s="83" t="s">
        <v>89</v>
      </c>
      <c r="E38" s="84" t="s">
        <v>84</v>
      </c>
      <c r="F38" s="84" t="s">
        <v>90</v>
      </c>
      <c r="G38" s="84" t="s">
        <v>91</v>
      </c>
      <c r="H38" s="84" t="s">
        <v>92</v>
      </c>
      <c r="I38" s="84" t="s">
        <v>93</v>
      </c>
      <c r="J38" s="84" t="s">
        <v>83</v>
      </c>
      <c r="K38" s="84" t="s">
        <v>94</v>
      </c>
      <c r="L38" s="85" t="s">
        <v>70</v>
      </c>
      <c r="M38" s="230"/>
      <c r="O38" s="83" t="s">
        <v>89</v>
      </c>
      <c r="P38" s="84" t="s">
        <v>84</v>
      </c>
      <c r="Q38" s="84" t="s">
        <v>90</v>
      </c>
      <c r="R38" s="84" t="s">
        <v>91</v>
      </c>
      <c r="S38" s="84" t="s">
        <v>92</v>
      </c>
      <c r="T38" s="84" t="s">
        <v>93</v>
      </c>
      <c r="U38" s="84" t="s">
        <v>83</v>
      </c>
      <c r="V38" s="84" t="s">
        <v>94</v>
      </c>
      <c r="W38" s="4" t="s">
        <v>70</v>
      </c>
      <c r="X38" s="243"/>
      <c r="Y38" s="143" t="s">
        <v>136</v>
      </c>
      <c r="Z38" s="83" t="s">
        <v>89</v>
      </c>
      <c r="AA38" s="84" t="s">
        <v>84</v>
      </c>
      <c r="AB38" s="84" t="s">
        <v>90</v>
      </c>
      <c r="AC38" s="84" t="s">
        <v>91</v>
      </c>
      <c r="AD38" s="84" t="s">
        <v>92</v>
      </c>
      <c r="AE38" s="84" t="s">
        <v>93</v>
      </c>
      <c r="AF38" s="84" t="s">
        <v>83</v>
      </c>
      <c r="AG38" s="84" t="s">
        <v>94</v>
      </c>
      <c r="AH38" s="191" t="s">
        <v>70</v>
      </c>
      <c r="AI38" s="244"/>
      <c r="AJ38" s="143" t="s">
        <v>136</v>
      </c>
      <c r="AK38" s="83" t="s">
        <v>89</v>
      </c>
      <c r="AL38" s="84" t="s">
        <v>84</v>
      </c>
      <c r="AM38" s="84" t="s">
        <v>90</v>
      </c>
      <c r="AN38" s="84" t="s">
        <v>91</v>
      </c>
      <c r="AO38" s="84" t="s">
        <v>92</v>
      </c>
      <c r="AP38" s="84" t="s">
        <v>93</v>
      </c>
      <c r="AQ38" s="84" t="s">
        <v>83</v>
      </c>
      <c r="AR38" s="84" t="s">
        <v>94</v>
      </c>
      <c r="AS38" s="85" t="s">
        <v>70</v>
      </c>
      <c r="AT38" s="224"/>
      <c r="AU38" s="143" t="s">
        <v>136</v>
      </c>
      <c r="AV38" s="230"/>
    </row>
    <row r="39" spans="1:48" ht="23.25" customHeight="1">
      <c r="A39" s="26">
        <v>31</v>
      </c>
      <c r="B39" s="9" t="s">
        <v>34</v>
      </c>
      <c r="C39" s="11">
        <v>354.7</v>
      </c>
      <c r="D39" s="87">
        <f aca="true" t="shared" si="30" ref="D39:D64">L39-E39-F39-G39-H39-I39-J39-K39</f>
        <v>5.840000000000001</v>
      </c>
      <c r="E39" s="87">
        <v>0.35</v>
      </c>
      <c r="F39" s="87"/>
      <c r="G39" s="87">
        <v>3.72</v>
      </c>
      <c r="H39" s="87">
        <v>1.08</v>
      </c>
      <c r="I39" s="87">
        <v>0.78</v>
      </c>
      <c r="J39" s="87">
        <v>0.87</v>
      </c>
      <c r="K39" s="87">
        <v>0.39</v>
      </c>
      <c r="L39" s="109">
        <f aca="true" t="shared" si="31" ref="L39:L64">N39-M39</f>
        <v>13.030000000000001</v>
      </c>
      <c r="M39" s="5">
        <v>3.75</v>
      </c>
      <c r="N39" s="196">
        <v>16.78</v>
      </c>
      <c r="O39" s="13">
        <f aca="true" t="shared" si="32" ref="O39:O64">W39-V39-U39-T39-S39-R39-Q39-P39</f>
        <v>12439.768</v>
      </c>
      <c r="P39" s="13">
        <v>733.79</v>
      </c>
      <c r="Q39" s="13">
        <f>F39*C39*6</f>
        <v>0</v>
      </c>
      <c r="R39" s="13">
        <f aca="true" t="shared" si="33" ref="R39:R64">W39/L39*G39</f>
        <v>7916.9039999999995</v>
      </c>
      <c r="S39" s="13">
        <f aca="true" t="shared" si="34" ref="S39:S64">W39/L39*H39</f>
        <v>2298.456</v>
      </c>
      <c r="T39" s="13">
        <f aca="true" t="shared" si="35" ref="T39:T64">W39/L39*I39</f>
        <v>1659.9959999999999</v>
      </c>
      <c r="U39" s="13">
        <f aca="true" t="shared" si="36" ref="U39:U64">W39/L39*J39</f>
        <v>1851.5339999999999</v>
      </c>
      <c r="V39" s="13">
        <f aca="true" t="shared" si="37" ref="V39:V64">W39/L39*K39</f>
        <v>829.9979999999999</v>
      </c>
      <c r="W39" s="113">
        <f aca="true" t="shared" si="38" ref="W39:W64">C39*L39*6</f>
        <v>27730.446</v>
      </c>
      <c r="X39" s="113">
        <f aca="true" t="shared" si="39" ref="X39:X64">M39*C39*6</f>
        <v>7980.75</v>
      </c>
      <c r="Y39" s="43">
        <v>35711.22</v>
      </c>
      <c r="Z39" s="15">
        <f aca="true" t="shared" si="40" ref="Z39:Z64">AH39-AG39-AF39-AE39-AD39-AC39-AB39-AA39</f>
        <v>9224.05302379125</v>
      </c>
      <c r="AA39" s="13">
        <v>733.79</v>
      </c>
      <c r="AB39" s="15"/>
      <c r="AC39" s="13">
        <f aca="true" t="shared" si="41" ref="AC39:AC64">AH39/L39*G39</f>
        <v>5984.358004604758</v>
      </c>
      <c r="AD39" s="13">
        <f aca="true" t="shared" si="42" ref="AD39:AD64">AH39/L39*H39</f>
        <v>1737.3942594013813</v>
      </c>
      <c r="AE39" s="13">
        <f aca="true" t="shared" si="43" ref="AE39:AE64">AH39/L39*I39</f>
        <v>1254.7847429009976</v>
      </c>
      <c r="AF39" s="13">
        <f aca="true" t="shared" si="44" ref="AF39:AF64">AH39/L39*J39</f>
        <v>1399.5675978511126</v>
      </c>
      <c r="AG39" s="13">
        <f aca="true" t="shared" si="45" ref="AG39:AG64">AH39/L39*K39</f>
        <v>627.3923714504988</v>
      </c>
      <c r="AH39" s="155">
        <f aca="true" t="shared" si="46" ref="AH39:AH64">AJ39-AI39</f>
        <v>20961.34</v>
      </c>
      <c r="AI39" s="113">
        <f aca="true" t="shared" si="47" ref="AI39:AI64">X39</f>
        <v>7980.75</v>
      </c>
      <c r="AJ39" s="43">
        <v>28942.09</v>
      </c>
      <c r="AK39" s="21">
        <v>0</v>
      </c>
      <c r="AL39" s="13">
        <v>733.79</v>
      </c>
      <c r="AM39" s="21">
        <f>Q39/1.05</f>
        <v>0</v>
      </c>
      <c r="AN39" s="21">
        <f>R39/1.05</f>
        <v>7539.908571428571</v>
      </c>
      <c r="AO39" s="21">
        <f aca="true" t="shared" si="48" ref="AO39:AO64">S39/1.05</f>
        <v>2189.0057142857145</v>
      </c>
      <c r="AP39" s="21">
        <f aca="true" t="shared" si="49" ref="AP39:AP64">T39/1.05</f>
        <v>1580.9485714285713</v>
      </c>
      <c r="AQ39" s="21">
        <f aca="true" t="shared" si="50" ref="AQ39:AQ64">U39/1.05</f>
        <v>1763.3657142857141</v>
      </c>
      <c r="AR39" s="21">
        <f aca="true" t="shared" si="51" ref="AR39:AR64">V39/1.05</f>
        <v>790.4742857142857</v>
      </c>
      <c r="AS39" s="22">
        <f aca="true" t="shared" si="52" ref="AS39:AS65">SUM(AK39:AR39)</f>
        <v>14597.492857142857</v>
      </c>
      <c r="AT39" s="21">
        <f aca="true" t="shared" si="53" ref="AT39:AT64">X39/1.05</f>
        <v>7600.714285714285</v>
      </c>
      <c r="AU39" s="21">
        <f aca="true" t="shared" si="54" ref="AU39:AU64">AS39+AT39</f>
        <v>22198.207142857143</v>
      </c>
      <c r="AV39" s="9" t="s">
        <v>34</v>
      </c>
    </row>
    <row r="40" spans="1:48" ht="23.25" customHeight="1">
      <c r="A40" s="26">
        <v>32</v>
      </c>
      <c r="B40" s="9" t="s">
        <v>35</v>
      </c>
      <c r="C40" s="11">
        <v>735.11</v>
      </c>
      <c r="D40" s="87">
        <f t="shared" si="30"/>
        <v>5.8</v>
      </c>
      <c r="E40" s="87">
        <v>0.39</v>
      </c>
      <c r="F40" s="87"/>
      <c r="G40" s="87">
        <v>3.72</v>
      </c>
      <c r="H40" s="87">
        <v>1.08</v>
      </c>
      <c r="I40" s="87">
        <v>0.78</v>
      </c>
      <c r="J40" s="87">
        <v>0.87</v>
      </c>
      <c r="K40" s="87">
        <v>0.39</v>
      </c>
      <c r="L40" s="109">
        <f t="shared" si="31"/>
        <v>13.030000000000001</v>
      </c>
      <c r="M40" s="5">
        <v>3.75</v>
      </c>
      <c r="N40" s="196">
        <v>16.78</v>
      </c>
      <c r="O40" s="13">
        <f t="shared" si="32"/>
        <v>25581.8254</v>
      </c>
      <c r="P40" s="13">
        <v>1720.16</v>
      </c>
      <c r="Q40" s="13">
        <f>F40*C40*6</f>
        <v>0</v>
      </c>
      <c r="R40" s="13">
        <f t="shared" si="33"/>
        <v>16407.655200000005</v>
      </c>
      <c r="S40" s="13">
        <f t="shared" si="34"/>
        <v>4763.512800000001</v>
      </c>
      <c r="T40" s="13">
        <f t="shared" si="35"/>
        <v>3440.3148000000006</v>
      </c>
      <c r="U40" s="13">
        <f t="shared" si="36"/>
        <v>3837.2742000000007</v>
      </c>
      <c r="V40" s="13">
        <f t="shared" si="37"/>
        <v>1720.1574000000003</v>
      </c>
      <c r="W40" s="113">
        <f t="shared" si="38"/>
        <v>57470.899800000014</v>
      </c>
      <c r="X40" s="113">
        <f t="shared" si="39"/>
        <v>16539.975</v>
      </c>
      <c r="Y40" s="43">
        <v>74201.67</v>
      </c>
      <c r="Z40" s="15">
        <f t="shared" si="40"/>
        <v>26659.07314274752</v>
      </c>
      <c r="AA40" s="13">
        <v>1720.16</v>
      </c>
      <c r="AB40" s="15"/>
      <c r="AC40" s="13">
        <f t="shared" si="41"/>
        <v>17055.04802762855</v>
      </c>
      <c r="AD40" s="13">
        <f t="shared" si="42"/>
        <v>4951.465556408289</v>
      </c>
      <c r="AE40" s="13">
        <f t="shared" si="43"/>
        <v>3576.0584574059862</v>
      </c>
      <c r="AF40" s="13">
        <f t="shared" si="44"/>
        <v>3988.6805871066767</v>
      </c>
      <c r="AG40" s="13">
        <f t="shared" si="45"/>
        <v>1788.0292287029931</v>
      </c>
      <c r="AH40" s="155">
        <f t="shared" si="46"/>
        <v>59738.51500000001</v>
      </c>
      <c r="AI40" s="113">
        <f t="shared" si="47"/>
        <v>16539.975</v>
      </c>
      <c r="AJ40" s="43">
        <v>76278.49</v>
      </c>
      <c r="AK40" s="21">
        <v>93034</v>
      </c>
      <c r="AL40" s="13">
        <v>1720.16</v>
      </c>
      <c r="AM40" s="21">
        <f>Q40/1.05</f>
        <v>0</v>
      </c>
      <c r="AN40" s="21">
        <f aca="true" t="shared" si="55" ref="AN40:AN64">R40/1.05</f>
        <v>15626.33828571429</v>
      </c>
      <c r="AO40" s="21">
        <f t="shared" si="48"/>
        <v>4536.678857142858</v>
      </c>
      <c r="AP40" s="21">
        <f t="shared" si="49"/>
        <v>3276.490285714286</v>
      </c>
      <c r="AQ40" s="21">
        <f t="shared" si="50"/>
        <v>3654.546857142858</v>
      </c>
      <c r="AR40" s="21">
        <f t="shared" si="51"/>
        <v>1638.245142857143</v>
      </c>
      <c r="AS40" s="22">
        <f t="shared" si="52"/>
        <v>123486.45942857144</v>
      </c>
      <c r="AT40" s="21">
        <f t="shared" si="53"/>
        <v>15752.357142857141</v>
      </c>
      <c r="AU40" s="21">
        <f t="shared" si="54"/>
        <v>139238.8165714286</v>
      </c>
      <c r="AV40" s="9" t="s">
        <v>35</v>
      </c>
    </row>
    <row r="41" spans="1:48" ht="23.25" customHeight="1">
      <c r="A41" s="26">
        <v>33</v>
      </c>
      <c r="B41" s="9" t="s">
        <v>36</v>
      </c>
      <c r="C41" s="11">
        <v>858.46</v>
      </c>
      <c r="D41" s="87">
        <f t="shared" si="30"/>
        <v>5.8</v>
      </c>
      <c r="E41" s="87">
        <v>0.39</v>
      </c>
      <c r="F41" s="87"/>
      <c r="G41" s="87">
        <v>3.72</v>
      </c>
      <c r="H41" s="87">
        <v>1.08</v>
      </c>
      <c r="I41" s="87">
        <v>0.78</v>
      </c>
      <c r="J41" s="87">
        <v>0.87</v>
      </c>
      <c r="K41" s="87">
        <v>0.39</v>
      </c>
      <c r="L41" s="109">
        <f t="shared" si="31"/>
        <v>13.030000000000001</v>
      </c>
      <c r="M41" s="5">
        <v>3.75</v>
      </c>
      <c r="N41" s="196">
        <v>16.78</v>
      </c>
      <c r="O41" s="13">
        <f t="shared" si="32"/>
        <v>29867.644400000005</v>
      </c>
      <c r="P41" s="13">
        <v>2015.56</v>
      </c>
      <c r="Q41" s="13">
        <f>F41*C41*6</f>
        <v>0</v>
      </c>
      <c r="R41" s="13">
        <f t="shared" si="33"/>
        <v>19160.827200000003</v>
      </c>
      <c r="S41" s="13">
        <f t="shared" si="34"/>
        <v>5562.8208</v>
      </c>
      <c r="T41" s="13">
        <f t="shared" si="35"/>
        <v>4017.5928000000004</v>
      </c>
      <c r="U41" s="13">
        <f t="shared" si="36"/>
        <v>4481.1612000000005</v>
      </c>
      <c r="V41" s="13">
        <f t="shared" si="37"/>
        <v>2008.7964000000002</v>
      </c>
      <c r="W41" s="113">
        <f t="shared" si="38"/>
        <v>67114.40280000001</v>
      </c>
      <c r="X41" s="113">
        <f t="shared" si="39"/>
        <v>19315.350000000002</v>
      </c>
      <c r="Y41" s="43">
        <v>86144.57</v>
      </c>
      <c r="Z41" s="15">
        <f t="shared" si="40"/>
        <v>31673.82141212586</v>
      </c>
      <c r="AA41" s="13">
        <v>2015.56</v>
      </c>
      <c r="AB41" s="15"/>
      <c r="AC41" s="13">
        <f t="shared" si="41"/>
        <v>20246.284144282425</v>
      </c>
      <c r="AD41" s="13">
        <f t="shared" si="42"/>
        <v>5877.953461243285</v>
      </c>
      <c r="AE41" s="13">
        <f t="shared" si="43"/>
        <v>4245.188610897928</v>
      </c>
      <c r="AF41" s="13">
        <f t="shared" si="44"/>
        <v>4735.018066001535</v>
      </c>
      <c r="AG41" s="13">
        <f t="shared" si="45"/>
        <v>2122.594305448964</v>
      </c>
      <c r="AH41" s="155">
        <f t="shared" si="46"/>
        <v>70916.42</v>
      </c>
      <c r="AI41" s="113">
        <f t="shared" si="47"/>
        <v>19315.350000000002</v>
      </c>
      <c r="AJ41" s="43">
        <v>90231.77</v>
      </c>
      <c r="AK41" s="21">
        <v>38996</v>
      </c>
      <c r="AL41" s="13">
        <v>2015.56</v>
      </c>
      <c r="AM41" s="21">
        <f>Q41/1.05</f>
        <v>0</v>
      </c>
      <c r="AN41" s="21">
        <f t="shared" si="55"/>
        <v>18248.406857142858</v>
      </c>
      <c r="AO41" s="21">
        <f t="shared" si="48"/>
        <v>5297.924571428572</v>
      </c>
      <c r="AP41" s="21">
        <f t="shared" si="49"/>
        <v>3826.2788571428573</v>
      </c>
      <c r="AQ41" s="21">
        <f t="shared" si="50"/>
        <v>4267.772571428572</v>
      </c>
      <c r="AR41" s="21">
        <f t="shared" si="51"/>
        <v>1913.1394285714287</v>
      </c>
      <c r="AS41" s="22">
        <f t="shared" si="52"/>
        <v>74565.08228571429</v>
      </c>
      <c r="AT41" s="21">
        <f t="shared" si="53"/>
        <v>18395.57142857143</v>
      </c>
      <c r="AU41" s="21">
        <f t="shared" si="54"/>
        <v>92960.65371428573</v>
      </c>
      <c r="AV41" s="9" t="s">
        <v>36</v>
      </c>
    </row>
    <row r="42" spans="1:48" ht="23.25" customHeight="1">
      <c r="A42" s="26">
        <v>34</v>
      </c>
      <c r="B42" s="9" t="s">
        <v>37</v>
      </c>
      <c r="C42" s="11">
        <v>288.26</v>
      </c>
      <c r="D42" s="87">
        <f t="shared" si="30"/>
        <v>5.8</v>
      </c>
      <c r="E42" s="87">
        <v>0.39</v>
      </c>
      <c r="F42" s="87"/>
      <c r="G42" s="87">
        <v>3.72</v>
      </c>
      <c r="H42" s="87">
        <v>1.08</v>
      </c>
      <c r="I42" s="87">
        <v>0.78</v>
      </c>
      <c r="J42" s="87">
        <v>0.87</v>
      </c>
      <c r="K42" s="87">
        <v>0.39</v>
      </c>
      <c r="L42" s="109">
        <f t="shared" si="31"/>
        <v>13.030000000000001</v>
      </c>
      <c r="M42" s="5">
        <v>3.75</v>
      </c>
      <c r="N42" s="196">
        <v>16.78</v>
      </c>
      <c r="O42" s="13">
        <f t="shared" si="32"/>
        <v>10031.446400000004</v>
      </c>
      <c r="P42" s="13">
        <v>674.53</v>
      </c>
      <c r="Q42" s="13">
        <f>F42*C42*6</f>
        <v>0</v>
      </c>
      <c r="R42" s="13">
        <f t="shared" si="33"/>
        <v>6433.9632</v>
      </c>
      <c r="S42" s="13">
        <f t="shared" si="34"/>
        <v>1867.9248</v>
      </c>
      <c r="T42" s="13">
        <f t="shared" si="35"/>
        <v>1349.0568</v>
      </c>
      <c r="U42" s="13">
        <f t="shared" si="36"/>
        <v>1504.7172</v>
      </c>
      <c r="V42" s="13">
        <f t="shared" si="37"/>
        <v>674.5284</v>
      </c>
      <c r="W42" s="113">
        <f t="shared" si="38"/>
        <v>22536.166800000003</v>
      </c>
      <c r="X42" s="113">
        <f t="shared" si="39"/>
        <v>6485.849999999999</v>
      </c>
      <c r="Y42" s="43">
        <v>28894.5</v>
      </c>
      <c r="Z42" s="15">
        <f t="shared" si="40"/>
        <v>10197.694313123566</v>
      </c>
      <c r="AA42" s="13">
        <v>674.53</v>
      </c>
      <c r="AB42" s="15"/>
      <c r="AC42" s="13">
        <f t="shared" si="41"/>
        <v>6533.873092862625</v>
      </c>
      <c r="AD42" s="13">
        <f t="shared" si="42"/>
        <v>1896.930897927859</v>
      </c>
      <c r="AE42" s="13">
        <f t="shared" si="43"/>
        <v>1370.0056485034536</v>
      </c>
      <c r="AF42" s="13">
        <f t="shared" si="44"/>
        <v>1528.0832233307751</v>
      </c>
      <c r="AG42" s="13">
        <f t="shared" si="45"/>
        <v>685.0028242517268</v>
      </c>
      <c r="AH42" s="155">
        <f t="shared" si="46"/>
        <v>22886.120000000003</v>
      </c>
      <c r="AI42" s="113">
        <f t="shared" si="47"/>
        <v>6485.849999999999</v>
      </c>
      <c r="AJ42" s="43">
        <v>29371.97</v>
      </c>
      <c r="AK42" s="21">
        <v>15853</v>
      </c>
      <c r="AL42" s="13">
        <v>674.53</v>
      </c>
      <c r="AM42" s="21">
        <f>Q42/1.05</f>
        <v>0</v>
      </c>
      <c r="AN42" s="21">
        <f t="shared" si="55"/>
        <v>6127.584</v>
      </c>
      <c r="AO42" s="21">
        <f t="shared" si="48"/>
        <v>1778.9759999999999</v>
      </c>
      <c r="AP42" s="21">
        <f t="shared" si="49"/>
        <v>1284.816</v>
      </c>
      <c r="AQ42" s="21">
        <f t="shared" si="50"/>
        <v>1433.064</v>
      </c>
      <c r="AR42" s="21">
        <f t="shared" si="51"/>
        <v>642.408</v>
      </c>
      <c r="AS42" s="22">
        <f t="shared" si="52"/>
        <v>27794.377999999993</v>
      </c>
      <c r="AT42" s="21">
        <f t="shared" si="53"/>
        <v>6176.999999999999</v>
      </c>
      <c r="AU42" s="21">
        <f t="shared" si="54"/>
        <v>33971.37799999999</v>
      </c>
      <c r="AV42" s="9" t="s">
        <v>37</v>
      </c>
    </row>
    <row r="43" spans="1:48" ht="23.25" customHeight="1" thickBot="1">
      <c r="A43" s="26">
        <v>35</v>
      </c>
      <c r="B43" s="9" t="s">
        <v>38</v>
      </c>
      <c r="C43" s="11">
        <v>138.67</v>
      </c>
      <c r="D43" s="87">
        <f t="shared" si="30"/>
        <v>5.8</v>
      </c>
      <c r="E43" s="87">
        <v>0.39</v>
      </c>
      <c r="F43" s="88"/>
      <c r="G43" s="87">
        <v>3.72</v>
      </c>
      <c r="H43" s="87">
        <v>1.08</v>
      </c>
      <c r="I43" s="87">
        <v>0.78</v>
      </c>
      <c r="J43" s="87">
        <v>0.87</v>
      </c>
      <c r="K43" s="87">
        <v>0.39</v>
      </c>
      <c r="L43" s="109">
        <f t="shared" si="31"/>
        <v>13.030000000000001</v>
      </c>
      <c r="M43" s="5">
        <v>3.75</v>
      </c>
      <c r="N43" s="196">
        <v>16.78</v>
      </c>
      <c r="O43" s="13">
        <f t="shared" si="32"/>
        <v>4825.7137999999995</v>
      </c>
      <c r="P43" s="13">
        <v>324.49</v>
      </c>
      <c r="Q43" s="13">
        <f>F43*C43*6</f>
        <v>0</v>
      </c>
      <c r="R43" s="13">
        <f t="shared" si="33"/>
        <v>3095.1144</v>
      </c>
      <c r="S43" s="13">
        <f t="shared" si="34"/>
        <v>898.5816000000001</v>
      </c>
      <c r="T43" s="13">
        <f t="shared" si="35"/>
        <v>648.9756</v>
      </c>
      <c r="U43" s="13">
        <f t="shared" si="36"/>
        <v>723.8574</v>
      </c>
      <c r="V43" s="13">
        <f t="shared" si="37"/>
        <v>324.4878</v>
      </c>
      <c r="W43" s="113">
        <f t="shared" si="38"/>
        <v>10841.2206</v>
      </c>
      <c r="X43" s="113">
        <f t="shared" si="39"/>
        <v>3120.075</v>
      </c>
      <c r="Y43" s="43">
        <v>13565.34</v>
      </c>
      <c r="Z43" s="15">
        <f t="shared" si="40"/>
        <v>5448.848891020722</v>
      </c>
      <c r="AA43" s="13">
        <v>324.49</v>
      </c>
      <c r="AB43" s="15"/>
      <c r="AC43" s="13">
        <f t="shared" si="41"/>
        <v>3469.599462778204</v>
      </c>
      <c r="AD43" s="13">
        <f t="shared" si="42"/>
        <v>1007.3030698388334</v>
      </c>
      <c r="AE43" s="13">
        <f t="shared" si="43"/>
        <v>727.4966615502685</v>
      </c>
      <c r="AF43" s="13">
        <f t="shared" si="44"/>
        <v>811.4385840368379</v>
      </c>
      <c r="AG43" s="13">
        <f t="shared" si="45"/>
        <v>363.74833077513426</v>
      </c>
      <c r="AH43" s="155">
        <f t="shared" si="46"/>
        <v>12152.925</v>
      </c>
      <c r="AI43" s="113">
        <f t="shared" si="47"/>
        <v>3120.075</v>
      </c>
      <c r="AJ43" s="43">
        <v>15273</v>
      </c>
      <c r="AK43" s="21">
        <v>0</v>
      </c>
      <c r="AL43" s="13">
        <v>324.49</v>
      </c>
      <c r="AM43" s="21">
        <f>Q43/1.05</f>
        <v>0</v>
      </c>
      <c r="AN43" s="21">
        <f t="shared" si="55"/>
        <v>2947.7279999999996</v>
      </c>
      <c r="AO43" s="21">
        <f t="shared" si="48"/>
        <v>855.792</v>
      </c>
      <c r="AP43" s="21">
        <f t="shared" si="49"/>
        <v>618.072</v>
      </c>
      <c r="AQ43" s="21">
        <f t="shared" si="50"/>
        <v>689.3879999999999</v>
      </c>
      <c r="AR43" s="21">
        <f t="shared" si="51"/>
        <v>309.036</v>
      </c>
      <c r="AS43" s="22">
        <f t="shared" si="52"/>
        <v>5744.506</v>
      </c>
      <c r="AT43" s="21">
        <f t="shared" si="53"/>
        <v>2971.4999999999995</v>
      </c>
      <c r="AU43" s="21">
        <f t="shared" si="54"/>
        <v>8716.006</v>
      </c>
      <c r="AV43" s="9" t="s">
        <v>38</v>
      </c>
    </row>
    <row r="44" spans="1:48" ht="23.25" customHeight="1">
      <c r="A44" s="26">
        <v>36</v>
      </c>
      <c r="B44" s="33" t="s">
        <v>39</v>
      </c>
      <c r="C44" s="34">
        <v>638.1</v>
      </c>
      <c r="D44" s="87">
        <f t="shared" si="30"/>
        <v>0.7799999999999981</v>
      </c>
      <c r="E44" s="87">
        <v>0.39</v>
      </c>
      <c r="F44" s="175">
        <v>7.55</v>
      </c>
      <c r="G44" s="87">
        <v>3.72</v>
      </c>
      <c r="H44" s="171">
        <v>1.08</v>
      </c>
      <c r="I44" s="87">
        <v>0.78</v>
      </c>
      <c r="J44" s="87">
        <v>0.87</v>
      </c>
      <c r="K44" s="87">
        <v>0.39</v>
      </c>
      <c r="L44" s="109">
        <f t="shared" si="31"/>
        <v>15.559999999999999</v>
      </c>
      <c r="M44" s="174">
        <v>3.75</v>
      </c>
      <c r="N44" s="196">
        <v>19.31</v>
      </c>
      <c r="O44" s="13">
        <f t="shared" si="32"/>
        <v>2986.312000000003</v>
      </c>
      <c r="P44" s="36">
        <v>1493.15</v>
      </c>
      <c r="Q44" s="36">
        <f>W44/15.56*7.55</f>
        <v>28905.929999999997</v>
      </c>
      <c r="R44" s="13">
        <f t="shared" si="33"/>
        <v>14242.392</v>
      </c>
      <c r="S44" s="13">
        <f t="shared" si="34"/>
        <v>4134.888</v>
      </c>
      <c r="T44" s="13">
        <f t="shared" si="35"/>
        <v>2986.308</v>
      </c>
      <c r="U44" s="13">
        <f t="shared" si="36"/>
        <v>3330.882</v>
      </c>
      <c r="V44" s="13">
        <f t="shared" si="37"/>
        <v>1493.154</v>
      </c>
      <c r="W44" s="113">
        <f t="shared" si="38"/>
        <v>59573.015999999996</v>
      </c>
      <c r="X44" s="113">
        <f t="shared" si="39"/>
        <v>14357.25</v>
      </c>
      <c r="Y44" s="43">
        <v>73930.32</v>
      </c>
      <c r="Z44" s="15">
        <f t="shared" si="40"/>
        <v>3793.4062724935807</v>
      </c>
      <c r="AA44" s="36">
        <v>1493.15</v>
      </c>
      <c r="AB44" s="36">
        <f>AH44/15.56*7.55</f>
        <v>34114.102442159376</v>
      </c>
      <c r="AC44" s="13">
        <f t="shared" si="41"/>
        <v>16808.53789203085</v>
      </c>
      <c r="AD44" s="13">
        <f t="shared" si="42"/>
        <v>4879.898097686376</v>
      </c>
      <c r="AE44" s="13">
        <f t="shared" si="43"/>
        <v>3524.3708483290493</v>
      </c>
      <c r="AF44" s="13">
        <f t="shared" si="44"/>
        <v>3931.029023136247</v>
      </c>
      <c r="AG44" s="13">
        <f t="shared" si="45"/>
        <v>1762.1854241645246</v>
      </c>
      <c r="AH44" s="155">
        <f t="shared" si="46"/>
        <v>70306.68</v>
      </c>
      <c r="AI44" s="113">
        <f t="shared" si="47"/>
        <v>14357.25</v>
      </c>
      <c r="AJ44" s="43">
        <v>84663.93</v>
      </c>
      <c r="AK44" s="66">
        <v>62112.6</v>
      </c>
      <c r="AL44" s="36">
        <v>1493.15</v>
      </c>
      <c r="AM44" s="66">
        <f>Q44</f>
        <v>28905.929999999997</v>
      </c>
      <c r="AN44" s="21">
        <f t="shared" si="55"/>
        <v>13564.182857142856</v>
      </c>
      <c r="AO44" s="21">
        <f t="shared" si="48"/>
        <v>3937.988571428571</v>
      </c>
      <c r="AP44" s="21">
        <f t="shared" si="49"/>
        <v>2844.102857142857</v>
      </c>
      <c r="AQ44" s="21">
        <f t="shared" si="50"/>
        <v>3172.2685714285712</v>
      </c>
      <c r="AR44" s="21">
        <f t="shared" si="51"/>
        <v>1422.0514285714285</v>
      </c>
      <c r="AS44" s="67">
        <f t="shared" si="52"/>
        <v>117452.27428571429</v>
      </c>
      <c r="AT44" s="21">
        <f t="shared" si="53"/>
        <v>13673.571428571428</v>
      </c>
      <c r="AU44" s="21">
        <f t="shared" si="54"/>
        <v>131125.8457142857</v>
      </c>
      <c r="AV44" s="33" t="s">
        <v>39</v>
      </c>
    </row>
    <row r="45" spans="1:48" ht="23.25" customHeight="1" thickBot="1">
      <c r="A45" s="26">
        <v>37</v>
      </c>
      <c r="B45" s="33" t="s">
        <v>40</v>
      </c>
      <c r="C45" s="37">
        <v>647.2</v>
      </c>
      <c r="D45" s="87">
        <f t="shared" si="30"/>
        <v>0.7799999999999981</v>
      </c>
      <c r="E45" s="87">
        <v>0.39</v>
      </c>
      <c r="F45" s="176">
        <v>7.55</v>
      </c>
      <c r="G45" s="87">
        <v>3.72</v>
      </c>
      <c r="H45" s="171">
        <v>1.08</v>
      </c>
      <c r="I45" s="87">
        <v>0.78</v>
      </c>
      <c r="J45" s="87">
        <v>0.87</v>
      </c>
      <c r="K45" s="87">
        <v>0.39</v>
      </c>
      <c r="L45" s="109">
        <f t="shared" si="31"/>
        <v>15.559999999999999</v>
      </c>
      <c r="M45" s="174">
        <v>3.75</v>
      </c>
      <c r="N45" s="196">
        <v>19.31</v>
      </c>
      <c r="O45" s="13">
        <f t="shared" si="32"/>
        <v>3028.894000000001</v>
      </c>
      <c r="P45" s="36">
        <v>1514.45</v>
      </c>
      <c r="Q45" s="36">
        <f>W45/15.56*7.55</f>
        <v>29318.16</v>
      </c>
      <c r="R45" s="13">
        <f t="shared" si="33"/>
        <v>14445.504000000003</v>
      </c>
      <c r="S45" s="13">
        <f t="shared" si="34"/>
        <v>4193.856000000001</v>
      </c>
      <c r="T45" s="13">
        <f t="shared" si="35"/>
        <v>3028.8960000000006</v>
      </c>
      <c r="U45" s="13">
        <f t="shared" si="36"/>
        <v>3378.3840000000005</v>
      </c>
      <c r="V45" s="13">
        <f t="shared" si="37"/>
        <v>1514.4480000000003</v>
      </c>
      <c r="W45" s="113">
        <f t="shared" si="38"/>
        <v>60422.592000000004</v>
      </c>
      <c r="X45" s="113">
        <f t="shared" si="39"/>
        <v>14562</v>
      </c>
      <c r="Y45" s="43">
        <v>74984.64</v>
      </c>
      <c r="Z45" s="15">
        <f t="shared" si="40"/>
        <v>3724.7671401028174</v>
      </c>
      <c r="AA45" s="36">
        <v>1514.45</v>
      </c>
      <c r="AB45" s="36">
        <f>AH45/15.56*7.55</f>
        <v>33808.62342544987</v>
      </c>
      <c r="AC45" s="13">
        <f t="shared" si="41"/>
        <v>16658.023727506432</v>
      </c>
      <c r="AD45" s="13">
        <f t="shared" si="42"/>
        <v>4836.200437017996</v>
      </c>
      <c r="AE45" s="13">
        <f t="shared" si="43"/>
        <v>3492.8114267352194</v>
      </c>
      <c r="AF45" s="13">
        <f t="shared" si="44"/>
        <v>3895.8281298200523</v>
      </c>
      <c r="AG45" s="13">
        <f t="shared" si="45"/>
        <v>1746.4057133676097</v>
      </c>
      <c r="AH45" s="155">
        <f t="shared" si="46"/>
        <v>69677.11</v>
      </c>
      <c r="AI45" s="113">
        <f t="shared" si="47"/>
        <v>14562</v>
      </c>
      <c r="AJ45" s="43">
        <v>84239.11</v>
      </c>
      <c r="AK45" s="66">
        <v>1280</v>
      </c>
      <c r="AL45" s="36">
        <v>1514.45</v>
      </c>
      <c r="AM45" s="66">
        <f>Q45</f>
        <v>29318.16</v>
      </c>
      <c r="AN45" s="21">
        <f t="shared" si="55"/>
        <v>13757.622857142858</v>
      </c>
      <c r="AO45" s="21">
        <f t="shared" si="48"/>
        <v>3994.148571428572</v>
      </c>
      <c r="AP45" s="21">
        <f t="shared" si="49"/>
        <v>2884.662857142858</v>
      </c>
      <c r="AQ45" s="21">
        <f t="shared" si="50"/>
        <v>3217.508571428572</v>
      </c>
      <c r="AR45" s="21">
        <f t="shared" si="51"/>
        <v>1442.331428571429</v>
      </c>
      <c r="AS45" s="67">
        <f t="shared" si="52"/>
        <v>57408.884285714295</v>
      </c>
      <c r="AT45" s="21">
        <f t="shared" si="53"/>
        <v>13868.571428571428</v>
      </c>
      <c r="AU45" s="21">
        <f t="shared" si="54"/>
        <v>71277.45571428572</v>
      </c>
      <c r="AV45" s="33" t="s">
        <v>40</v>
      </c>
    </row>
    <row r="46" spans="1:48" ht="23.25" customHeight="1" thickBot="1">
      <c r="A46" s="26">
        <v>38</v>
      </c>
      <c r="B46" s="10" t="s">
        <v>41</v>
      </c>
      <c r="C46" s="11">
        <v>712.63</v>
      </c>
      <c r="D46" s="87">
        <f t="shared" si="30"/>
        <v>5.8</v>
      </c>
      <c r="E46" s="87">
        <v>0.39</v>
      </c>
      <c r="F46" s="90"/>
      <c r="G46" s="87">
        <v>3.72</v>
      </c>
      <c r="H46" s="87">
        <v>1.08</v>
      </c>
      <c r="I46" s="87">
        <v>0.78</v>
      </c>
      <c r="J46" s="87">
        <v>0.87</v>
      </c>
      <c r="K46" s="87">
        <v>0.39</v>
      </c>
      <c r="L46" s="109">
        <f t="shared" si="31"/>
        <v>13.030000000000001</v>
      </c>
      <c r="M46" s="5">
        <v>3.75</v>
      </c>
      <c r="N46" s="196">
        <v>16.78</v>
      </c>
      <c r="O46" s="13">
        <f t="shared" si="32"/>
        <v>24802.09820000001</v>
      </c>
      <c r="P46" s="13">
        <v>1664.98</v>
      </c>
      <c r="Q46" s="13">
        <f>F46*C46*6</f>
        <v>0</v>
      </c>
      <c r="R46" s="13">
        <f t="shared" si="33"/>
        <v>15905.9016</v>
      </c>
      <c r="S46" s="13">
        <f t="shared" si="34"/>
        <v>4617.8424</v>
      </c>
      <c r="T46" s="13">
        <f t="shared" si="35"/>
        <v>3335.1084</v>
      </c>
      <c r="U46" s="13">
        <f t="shared" si="36"/>
        <v>3719.9285999999997</v>
      </c>
      <c r="V46" s="13">
        <f t="shared" si="37"/>
        <v>1667.5542</v>
      </c>
      <c r="W46" s="113">
        <f t="shared" si="38"/>
        <v>55713.413400000005</v>
      </c>
      <c r="X46" s="113">
        <f t="shared" si="39"/>
        <v>16034.175000000001</v>
      </c>
      <c r="Y46" s="43">
        <v>71747.58</v>
      </c>
      <c r="Z46" s="15">
        <f t="shared" si="40"/>
        <v>25770.641561780518</v>
      </c>
      <c r="AA46" s="13">
        <v>1664.98</v>
      </c>
      <c r="AB46" s="15"/>
      <c r="AC46" s="13">
        <f t="shared" si="41"/>
        <v>16487.966431312354</v>
      </c>
      <c r="AD46" s="13">
        <f t="shared" si="42"/>
        <v>4786.8289639293935</v>
      </c>
      <c r="AE46" s="13">
        <f t="shared" si="43"/>
        <v>3457.154251726784</v>
      </c>
      <c r="AF46" s="13">
        <f t="shared" si="44"/>
        <v>3856.0566653875667</v>
      </c>
      <c r="AG46" s="13">
        <f t="shared" si="45"/>
        <v>1728.577125863392</v>
      </c>
      <c r="AH46" s="155">
        <f t="shared" si="46"/>
        <v>57752.205</v>
      </c>
      <c r="AI46" s="113">
        <f t="shared" si="47"/>
        <v>16034.175000000001</v>
      </c>
      <c r="AJ46" s="43">
        <v>73786.38</v>
      </c>
      <c r="AK46" s="21">
        <v>25532.4</v>
      </c>
      <c r="AL46" s="13">
        <v>1664.98</v>
      </c>
      <c r="AM46" s="21">
        <f aca="true" t="shared" si="56" ref="AM46:AM64">Q46/1.05</f>
        <v>0</v>
      </c>
      <c r="AN46" s="21">
        <f t="shared" si="55"/>
        <v>15148.477714285713</v>
      </c>
      <c r="AO46" s="21">
        <f t="shared" si="48"/>
        <v>4397.945142857143</v>
      </c>
      <c r="AP46" s="21">
        <f t="shared" si="49"/>
        <v>3176.293714285714</v>
      </c>
      <c r="AQ46" s="21">
        <f t="shared" si="50"/>
        <v>3542.7891428571425</v>
      </c>
      <c r="AR46" s="21">
        <f t="shared" si="51"/>
        <v>1588.146857142857</v>
      </c>
      <c r="AS46" s="22">
        <f t="shared" si="52"/>
        <v>55051.032571428565</v>
      </c>
      <c r="AT46" s="21">
        <f t="shared" si="53"/>
        <v>15270.642857142857</v>
      </c>
      <c r="AU46" s="21">
        <f t="shared" si="54"/>
        <v>70321.67542857143</v>
      </c>
      <c r="AV46" s="10" t="s">
        <v>41</v>
      </c>
    </row>
    <row r="47" spans="1:48" ht="23.25" customHeight="1" thickBot="1">
      <c r="A47" s="26">
        <v>39</v>
      </c>
      <c r="B47" s="33" t="s">
        <v>42</v>
      </c>
      <c r="C47" s="37">
        <v>742.1</v>
      </c>
      <c r="D47" s="87">
        <f t="shared" si="30"/>
        <v>0.7799999999999981</v>
      </c>
      <c r="E47" s="87">
        <v>0.39</v>
      </c>
      <c r="F47" s="172">
        <v>7.55</v>
      </c>
      <c r="G47" s="87">
        <v>3.72</v>
      </c>
      <c r="H47" s="171">
        <v>1.08</v>
      </c>
      <c r="I47" s="87">
        <v>0.78</v>
      </c>
      <c r="J47" s="87">
        <v>0.87</v>
      </c>
      <c r="K47" s="87">
        <v>0.39</v>
      </c>
      <c r="L47" s="109">
        <f t="shared" si="31"/>
        <v>15.559999999999999</v>
      </c>
      <c r="M47" s="174">
        <v>3.75</v>
      </c>
      <c r="N47" s="196">
        <v>19.31</v>
      </c>
      <c r="O47" s="13">
        <f t="shared" si="32"/>
        <v>3473.032000000001</v>
      </c>
      <c r="P47" s="36">
        <v>1736.51</v>
      </c>
      <c r="Q47" s="36">
        <f>W47/15.56*7.55</f>
        <v>33617.13</v>
      </c>
      <c r="R47" s="13">
        <f t="shared" si="33"/>
        <v>16563.672</v>
      </c>
      <c r="S47" s="13">
        <f t="shared" si="34"/>
        <v>4808.808</v>
      </c>
      <c r="T47" s="13">
        <f t="shared" si="35"/>
        <v>3473.028</v>
      </c>
      <c r="U47" s="13">
        <f t="shared" si="36"/>
        <v>3873.7619999999997</v>
      </c>
      <c r="V47" s="13">
        <f t="shared" si="37"/>
        <v>1736.514</v>
      </c>
      <c r="W47" s="113">
        <f t="shared" si="38"/>
        <v>69282.45599999999</v>
      </c>
      <c r="X47" s="113">
        <f t="shared" si="39"/>
        <v>16697.25</v>
      </c>
      <c r="Y47" s="43">
        <v>85979.58</v>
      </c>
      <c r="Z47" s="15">
        <f t="shared" si="40"/>
        <v>3706.8059704370044</v>
      </c>
      <c r="AA47" s="36">
        <v>1736.51</v>
      </c>
      <c r="AB47" s="36">
        <f>AH47/15.56*7.55</f>
        <v>35125.67143316195</v>
      </c>
      <c r="AC47" s="13">
        <f t="shared" si="41"/>
        <v>17306.953341902314</v>
      </c>
      <c r="AD47" s="13">
        <f t="shared" si="42"/>
        <v>5024.599357326479</v>
      </c>
      <c r="AE47" s="13">
        <f t="shared" si="43"/>
        <v>3628.8773136246787</v>
      </c>
      <c r="AF47" s="13">
        <f t="shared" si="44"/>
        <v>4047.5939267352187</v>
      </c>
      <c r="AG47" s="13">
        <f t="shared" si="45"/>
        <v>1814.4386568123393</v>
      </c>
      <c r="AH47" s="155">
        <f t="shared" si="46"/>
        <v>72391.45</v>
      </c>
      <c r="AI47" s="113">
        <f t="shared" si="47"/>
        <v>16697.25</v>
      </c>
      <c r="AJ47" s="43">
        <v>89088.7</v>
      </c>
      <c r="AK47" s="66">
        <v>122659.7</v>
      </c>
      <c r="AL47" s="36">
        <v>1736.51</v>
      </c>
      <c r="AM47" s="66">
        <f>Q47</f>
        <v>33617.13</v>
      </c>
      <c r="AN47" s="21">
        <f t="shared" si="55"/>
        <v>15774.925714285713</v>
      </c>
      <c r="AO47" s="21">
        <f t="shared" si="48"/>
        <v>4579.817142857142</v>
      </c>
      <c r="AP47" s="21">
        <f t="shared" si="49"/>
        <v>3307.645714285714</v>
      </c>
      <c r="AQ47" s="21">
        <f t="shared" si="50"/>
        <v>3689.2971428571423</v>
      </c>
      <c r="AR47" s="21">
        <f t="shared" si="51"/>
        <v>1653.822857142857</v>
      </c>
      <c r="AS47" s="67">
        <f t="shared" si="52"/>
        <v>187018.8485714286</v>
      </c>
      <c r="AT47" s="21">
        <f t="shared" si="53"/>
        <v>15902.142857142857</v>
      </c>
      <c r="AU47" s="21">
        <f t="shared" si="54"/>
        <v>202920.99142857146</v>
      </c>
      <c r="AV47" s="33" t="s">
        <v>42</v>
      </c>
    </row>
    <row r="48" spans="1:48" ht="23.25" customHeight="1" thickBot="1">
      <c r="A48" s="26">
        <v>40</v>
      </c>
      <c r="B48" s="33" t="s">
        <v>88</v>
      </c>
      <c r="C48" s="37">
        <v>742.31</v>
      </c>
      <c r="D48" s="87">
        <f t="shared" si="30"/>
        <v>0.7799999999999981</v>
      </c>
      <c r="E48" s="87">
        <v>0.39</v>
      </c>
      <c r="F48" s="172">
        <v>7.55</v>
      </c>
      <c r="G48" s="87">
        <v>3.72</v>
      </c>
      <c r="H48" s="171">
        <v>1.08</v>
      </c>
      <c r="I48" s="87">
        <v>0.78</v>
      </c>
      <c r="J48" s="87">
        <v>0.87</v>
      </c>
      <c r="K48" s="87">
        <v>0.39</v>
      </c>
      <c r="L48" s="109">
        <f t="shared" si="31"/>
        <v>15.559999999999999</v>
      </c>
      <c r="M48" s="174">
        <v>3.75</v>
      </c>
      <c r="N48" s="196">
        <v>19.31</v>
      </c>
      <c r="O48" s="13">
        <f t="shared" si="32"/>
        <v>3473.8961999999983</v>
      </c>
      <c r="P48" s="36">
        <v>1737.12</v>
      </c>
      <c r="Q48" s="36">
        <f>W48/15.56*7.55</f>
        <v>33626.64299999999</v>
      </c>
      <c r="R48" s="13">
        <f t="shared" si="33"/>
        <v>16568.3592</v>
      </c>
      <c r="S48" s="13">
        <f t="shared" si="34"/>
        <v>4810.1688</v>
      </c>
      <c r="T48" s="13">
        <f t="shared" si="35"/>
        <v>3474.0108</v>
      </c>
      <c r="U48" s="13">
        <f t="shared" si="36"/>
        <v>3874.8581999999997</v>
      </c>
      <c r="V48" s="13">
        <f t="shared" si="37"/>
        <v>1737.0054</v>
      </c>
      <c r="W48" s="113">
        <f t="shared" si="38"/>
        <v>69302.06159999999</v>
      </c>
      <c r="X48" s="113">
        <f t="shared" si="39"/>
        <v>16701.975</v>
      </c>
      <c r="Y48" s="43">
        <v>86003.82</v>
      </c>
      <c r="Z48" s="15">
        <f t="shared" si="40"/>
        <v>3828.996719151658</v>
      </c>
      <c r="AA48" s="36">
        <v>1737.12</v>
      </c>
      <c r="AB48" s="36">
        <f>AH48/15.56*7.55</f>
        <v>35918.10361503856</v>
      </c>
      <c r="AC48" s="13">
        <f t="shared" si="41"/>
        <v>17697.39674807198</v>
      </c>
      <c r="AD48" s="13">
        <f t="shared" si="42"/>
        <v>5137.953894601543</v>
      </c>
      <c r="AE48" s="13">
        <f t="shared" si="43"/>
        <v>3710.7444794344474</v>
      </c>
      <c r="AF48" s="13">
        <f t="shared" si="44"/>
        <v>4138.907303984576</v>
      </c>
      <c r="AG48" s="13">
        <f t="shared" si="45"/>
        <v>1855.3722397172237</v>
      </c>
      <c r="AH48" s="155">
        <f t="shared" si="46"/>
        <v>74024.595</v>
      </c>
      <c r="AI48" s="113">
        <f t="shared" si="47"/>
        <v>16701.975</v>
      </c>
      <c r="AJ48" s="43">
        <v>90726.57</v>
      </c>
      <c r="AK48" s="66">
        <v>118497.7</v>
      </c>
      <c r="AL48" s="36">
        <v>1737.12</v>
      </c>
      <c r="AM48" s="66">
        <f>Q48</f>
        <v>33626.64299999999</v>
      </c>
      <c r="AN48" s="21">
        <f t="shared" si="55"/>
        <v>15779.389714285713</v>
      </c>
      <c r="AO48" s="21">
        <f t="shared" si="48"/>
        <v>4581.113142857143</v>
      </c>
      <c r="AP48" s="21">
        <f t="shared" si="49"/>
        <v>3308.581714285714</v>
      </c>
      <c r="AQ48" s="21">
        <f t="shared" si="50"/>
        <v>3690.3411428571426</v>
      </c>
      <c r="AR48" s="21">
        <f t="shared" si="51"/>
        <v>1654.290857142857</v>
      </c>
      <c r="AS48" s="67">
        <f t="shared" si="52"/>
        <v>182875.17957142857</v>
      </c>
      <c r="AT48" s="21">
        <f t="shared" si="53"/>
        <v>15906.642857142855</v>
      </c>
      <c r="AU48" s="21">
        <f t="shared" si="54"/>
        <v>198781.8224285714</v>
      </c>
      <c r="AV48" s="33" t="s">
        <v>96</v>
      </c>
    </row>
    <row r="49" spans="1:48" ht="23.25" customHeight="1">
      <c r="A49" s="26">
        <v>41</v>
      </c>
      <c r="B49" s="9" t="s">
        <v>43</v>
      </c>
      <c r="C49" s="11">
        <v>751.4</v>
      </c>
      <c r="D49" s="87">
        <f t="shared" si="30"/>
        <v>5.8</v>
      </c>
      <c r="E49" s="87">
        <v>0.39</v>
      </c>
      <c r="F49" s="89"/>
      <c r="G49" s="87">
        <v>3.72</v>
      </c>
      <c r="H49" s="87">
        <v>1.08</v>
      </c>
      <c r="I49" s="87">
        <v>0.78</v>
      </c>
      <c r="J49" s="87">
        <v>0.87</v>
      </c>
      <c r="K49" s="87">
        <v>0.39</v>
      </c>
      <c r="L49" s="109">
        <f t="shared" si="31"/>
        <v>13.030000000000001</v>
      </c>
      <c r="M49" s="5">
        <v>3.75</v>
      </c>
      <c r="N49" s="196">
        <v>16.78</v>
      </c>
      <c r="O49" s="13">
        <f t="shared" si="32"/>
        <v>26148.716000000008</v>
      </c>
      <c r="P49" s="13">
        <v>1758.28</v>
      </c>
      <c r="Q49" s="13">
        <f aca="true" t="shared" si="57" ref="Q49:Q58">F49*C49*6</f>
        <v>0</v>
      </c>
      <c r="R49" s="13">
        <f t="shared" si="33"/>
        <v>16771.248</v>
      </c>
      <c r="S49" s="13">
        <f t="shared" si="34"/>
        <v>4869.072</v>
      </c>
      <c r="T49" s="13">
        <f t="shared" si="35"/>
        <v>3516.5519999999997</v>
      </c>
      <c r="U49" s="13">
        <f t="shared" si="36"/>
        <v>3922.3079999999995</v>
      </c>
      <c r="V49" s="13">
        <f t="shared" si="37"/>
        <v>1758.2759999999998</v>
      </c>
      <c r="W49" s="113">
        <f t="shared" si="38"/>
        <v>58744.452000000005</v>
      </c>
      <c r="X49" s="113">
        <f t="shared" si="39"/>
        <v>16906.5</v>
      </c>
      <c r="Y49" s="43">
        <v>75729.86</v>
      </c>
      <c r="Z49" s="15">
        <f t="shared" si="40"/>
        <v>26320.605126630853</v>
      </c>
      <c r="AA49" s="13">
        <v>1758.28</v>
      </c>
      <c r="AB49" s="15"/>
      <c r="AC49" s="13">
        <f t="shared" si="41"/>
        <v>16874.548089025327</v>
      </c>
      <c r="AD49" s="13">
        <f t="shared" si="42"/>
        <v>4899.062348426707</v>
      </c>
      <c r="AE49" s="13">
        <f t="shared" si="43"/>
        <v>3538.2116960859553</v>
      </c>
      <c r="AF49" s="13">
        <f t="shared" si="44"/>
        <v>3946.466891788181</v>
      </c>
      <c r="AG49" s="13">
        <f t="shared" si="45"/>
        <v>1769.1058480429776</v>
      </c>
      <c r="AH49" s="155">
        <f t="shared" si="46"/>
        <v>59106.28</v>
      </c>
      <c r="AI49" s="113">
        <f t="shared" si="47"/>
        <v>16906.5</v>
      </c>
      <c r="AJ49" s="43">
        <v>76012.78</v>
      </c>
      <c r="AK49" s="21">
        <v>0</v>
      </c>
      <c r="AL49" s="13">
        <v>1758.28</v>
      </c>
      <c r="AM49" s="21">
        <f t="shared" si="56"/>
        <v>0</v>
      </c>
      <c r="AN49" s="21">
        <f t="shared" si="55"/>
        <v>15972.617142857142</v>
      </c>
      <c r="AO49" s="21">
        <f t="shared" si="48"/>
        <v>4637.211428571429</v>
      </c>
      <c r="AP49" s="21">
        <f t="shared" si="49"/>
        <v>3349.0971428571424</v>
      </c>
      <c r="AQ49" s="21">
        <f t="shared" si="50"/>
        <v>3735.531428571428</v>
      </c>
      <c r="AR49" s="21">
        <f t="shared" si="51"/>
        <v>1674.5485714285712</v>
      </c>
      <c r="AS49" s="22">
        <f t="shared" si="52"/>
        <v>31127.285714285714</v>
      </c>
      <c r="AT49" s="21">
        <f t="shared" si="53"/>
        <v>16101.42857142857</v>
      </c>
      <c r="AU49" s="21">
        <f t="shared" si="54"/>
        <v>47228.71428571428</v>
      </c>
      <c r="AV49" s="9" t="s">
        <v>43</v>
      </c>
    </row>
    <row r="50" spans="1:48" ht="23.25" customHeight="1">
      <c r="A50" s="26">
        <v>42</v>
      </c>
      <c r="B50" s="9" t="s">
        <v>44</v>
      </c>
      <c r="C50" s="11">
        <v>744.11</v>
      </c>
      <c r="D50" s="87">
        <f t="shared" si="30"/>
        <v>5.8</v>
      </c>
      <c r="E50" s="87">
        <v>0.39</v>
      </c>
      <c r="F50" s="87"/>
      <c r="G50" s="87">
        <v>3.72</v>
      </c>
      <c r="H50" s="87">
        <v>1.08</v>
      </c>
      <c r="I50" s="87">
        <v>0.78</v>
      </c>
      <c r="J50" s="87">
        <v>0.87</v>
      </c>
      <c r="K50" s="87">
        <v>0.39</v>
      </c>
      <c r="L50" s="109">
        <f t="shared" si="31"/>
        <v>13.030000000000001</v>
      </c>
      <c r="M50" s="5">
        <v>3.75</v>
      </c>
      <c r="N50" s="196">
        <v>16.78</v>
      </c>
      <c r="O50" s="13">
        <f t="shared" si="32"/>
        <v>25895.025399999995</v>
      </c>
      <c r="P50" s="13">
        <v>1741.22</v>
      </c>
      <c r="Q50" s="13">
        <f t="shared" si="57"/>
        <v>0</v>
      </c>
      <c r="R50" s="13">
        <f t="shared" si="33"/>
        <v>16608.535200000002</v>
      </c>
      <c r="S50" s="13">
        <f t="shared" si="34"/>
        <v>4821.8328</v>
      </c>
      <c r="T50" s="13">
        <f t="shared" si="35"/>
        <v>3482.4348</v>
      </c>
      <c r="U50" s="13">
        <f t="shared" si="36"/>
        <v>3884.2542</v>
      </c>
      <c r="V50" s="13">
        <f t="shared" si="37"/>
        <v>1741.2174</v>
      </c>
      <c r="W50" s="113">
        <f t="shared" si="38"/>
        <v>58174.5198</v>
      </c>
      <c r="X50" s="113">
        <f t="shared" si="39"/>
        <v>16742.475</v>
      </c>
      <c r="Y50" s="43">
        <v>74941.38</v>
      </c>
      <c r="Z50" s="15">
        <f t="shared" si="40"/>
        <v>28295.061415963162</v>
      </c>
      <c r="AA50" s="13">
        <v>1741.22</v>
      </c>
      <c r="AB50" s="15"/>
      <c r="AC50" s="13">
        <f t="shared" si="41"/>
        <v>18050.883177283195</v>
      </c>
      <c r="AD50" s="13">
        <f t="shared" si="42"/>
        <v>5240.578986953185</v>
      </c>
      <c r="AE50" s="13">
        <f t="shared" si="43"/>
        <v>3784.8626016884114</v>
      </c>
      <c r="AF50" s="13">
        <f t="shared" si="44"/>
        <v>4221.577517267843</v>
      </c>
      <c r="AG50" s="13">
        <f t="shared" si="45"/>
        <v>1892.4313008442057</v>
      </c>
      <c r="AH50" s="155">
        <f t="shared" si="46"/>
        <v>63226.615</v>
      </c>
      <c r="AI50" s="113">
        <f t="shared" si="47"/>
        <v>16742.475</v>
      </c>
      <c r="AJ50" s="43">
        <v>79969.09</v>
      </c>
      <c r="AK50" s="21">
        <v>3278.1</v>
      </c>
      <c r="AL50" s="13">
        <v>1741.22</v>
      </c>
      <c r="AM50" s="21">
        <f t="shared" si="56"/>
        <v>0</v>
      </c>
      <c r="AN50" s="21">
        <f t="shared" si="55"/>
        <v>15817.652571428573</v>
      </c>
      <c r="AO50" s="21">
        <f t="shared" si="48"/>
        <v>4592.221714285714</v>
      </c>
      <c r="AP50" s="21">
        <f t="shared" si="49"/>
        <v>3316.6045714285715</v>
      </c>
      <c r="AQ50" s="21">
        <f t="shared" si="50"/>
        <v>3699.289714285714</v>
      </c>
      <c r="AR50" s="21">
        <f t="shared" si="51"/>
        <v>1658.3022857142857</v>
      </c>
      <c r="AS50" s="22">
        <f t="shared" si="52"/>
        <v>34103.39085714286</v>
      </c>
      <c r="AT50" s="21">
        <f t="shared" si="53"/>
        <v>15945.214285714284</v>
      </c>
      <c r="AU50" s="21">
        <f t="shared" si="54"/>
        <v>50048.605142857145</v>
      </c>
      <c r="AV50" s="9" t="s">
        <v>44</v>
      </c>
    </row>
    <row r="51" spans="1:48" ht="23.25" customHeight="1">
      <c r="A51" s="26">
        <v>43</v>
      </c>
      <c r="B51" s="9" t="s">
        <v>45</v>
      </c>
      <c r="C51" s="11">
        <v>569.7</v>
      </c>
      <c r="D51" s="87">
        <f t="shared" si="30"/>
        <v>5.8</v>
      </c>
      <c r="E51" s="87">
        <v>0.39</v>
      </c>
      <c r="F51" s="87"/>
      <c r="G51" s="87">
        <v>3.72</v>
      </c>
      <c r="H51" s="87">
        <v>1.08</v>
      </c>
      <c r="I51" s="87">
        <v>0.78</v>
      </c>
      <c r="J51" s="87">
        <v>0.87</v>
      </c>
      <c r="K51" s="87">
        <v>0.39</v>
      </c>
      <c r="L51" s="109">
        <f t="shared" si="31"/>
        <v>13.030000000000001</v>
      </c>
      <c r="M51" s="5">
        <v>3.75</v>
      </c>
      <c r="N51" s="196">
        <v>16.78</v>
      </c>
      <c r="O51" s="13">
        <f t="shared" si="32"/>
        <v>19825.558</v>
      </c>
      <c r="P51" s="13">
        <v>1333.1</v>
      </c>
      <c r="Q51" s="13">
        <f t="shared" si="57"/>
        <v>0</v>
      </c>
      <c r="R51" s="13">
        <f t="shared" si="33"/>
        <v>12715.704000000002</v>
      </c>
      <c r="S51" s="13">
        <f t="shared" si="34"/>
        <v>3691.6560000000004</v>
      </c>
      <c r="T51" s="13">
        <f t="shared" si="35"/>
        <v>2666.1960000000004</v>
      </c>
      <c r="U51" s="13">
        <f t="shared" si="36"/>
        <v>2973.8340000000003</v>
      </c>
      <c r="V51" s="13">
        <f t="shared" si="37"/>
        <v>1333.0980000000002</v>
      </c>
      <c r="W51" s="113">
        <f t="shared" si="38"/>
        <v>44539.14600000001</v>
      </c>
      <c r="X51" s="113">
        <f t="shared" si="39"/>
        <v>12818.25</v>
      </c>
      <c r="Y51" s="43">
        <v>57357.47</v>
      </c>
      <c r="Z51" s="15">
        <f t="shared" si="40"/>
        <v>16592.702947045284</v>
      </c>
      <c r="AA51" s="13">
        <v>1333.1</v>
      </c>
      <c r="AB51" s="15"/>
      <c r="AC51" s="13">
        <f t="shared" si="41"/>
        <v>10772.857344589409</v>
      </c>
      <c r="AD51" s="13">
        <f t="shared" si="42"/>
        <v>3127.6037452033765</v>
      </c>
      <c r="AE51" s="13">
        <f t="shared" si="43"/>
        <v>2258.8249270913275</v>
      </c>
      <c r="AF51" s="13">
        <f t="shared" si="44"/>
        <v>2519.458572524942</v>
      </c>
      <c r="AG51" s="13">
        <f t="shared" si="45"/>
        <v>1129.4124635456637</v>
      </c>
      <c r="AH51" s="155">
        <f t="shared" si="46"/>
        <v>37733.96</v>
      </c>
      <c r="AI51" s="113">
        <f t="shared" si="47"/>
        <v>12818.25</v>
      </c>
      <c r="AJ51" s="43">
        <v>50552.21</v>
      </c>
      <c r="AK51" s="21">
        <v>22953.8</v>
      </c>
      <c r="AL51" s="13">
        <v>1333.1</v>
      </c>
      <c r="AM51" s="21">
        <f t="shared" si="56"/>
        <v>0</v>
      </c>
      <c r="AN51" s="21">
        <f t="shared" si="55"/>
        <v>12110.194285714286</v>
      </c>
      <c r="AO51" s="21">
        <f t="shared" si="48"/>
        <v>3515.8628571428576</v>
      </c>
      <c r="AP51" s="21">
        <f t="shared" si="49"/>
        <v>2539.2342857142858</v>
      </c>
      <c r="AQ51" s="21">
        <f t="shared" si="50"/>
        <v>2832.2228571428573</v>
      </c>
      <c r="AR51" s="21">
        <f t="shared" si="51"/>
        <v>1269.6171428571429</v>
      </c>
      <c r="AS51" s="22">
        <f t="shared" si="52"/>
        <v>46554.03142857142</v>
      </c>
      <c r="AT51" s="21">
        <f t="shared" si="53"/>
        <v>12207.857142857143</v>
      </c>
      <c r="AU51" s="21">
        <f t="shared" si="54"/>
        <v>58761.888571428564</v>
      </c>
      <c r="AV51" s="9" t="s">
        <v>45</v>
      </c>
    </row>
    <row r="52" spans="1:48" ht="23.25" customHeight="1">
      <c r="A52" s="26">
        <v>44</v>
      </c>
      <c r="B52" s="9" t="s">
        <v>46</v>
      </c>
      <c r="C52" s="11">
        <v>448.7</v>
      </c>
      <c r="D52" s="87">
        <f t="shared" si="30"/>
        <v>5.8</v>
      </c>
      <c r="E52" s="87">
        <v>0.39</v>
      </c>
      <c r="F52" s="87"/>
      <c r="G52" s="87">
        <v>3.72</v>
      </c>
      <c r="H52" s="87">
        <v>1.08</v>
      </c>
      <c r="I52" s="87">
        <v>0.78</v>
      </c>
      <c r="J52" s="87">
        <v>0.87</v>
      </c>
      <c r="K52" s="87">
        <v>0.39</v>
      </c>
      <c r="L52" s="109">
        <f t="shared" si="31"/>
        <v>13.030000000000001</v>
      </c>
      <c r="M52" s="5">
        <v>3.75</v>
      </c>
      <c r="N52" s="196">
        <v>16.78</v>
      </c>
      <c r="O52" s="13">
        <f t="shared" si="32"/>
        <v>15614.758000000002</v>
      </c>
      <c r="P52" s="13">
        <v>1049.96</v>
      </c>
      <c r="Q52" s="13">
        <f t="shared" si="57"/>
        <v>0</v>
      </c>
      <c r="R52" s="13">
        <f t="shared" si="33"/>
        <v>10014.984</v>
      </c>
      <c r="S52" s="13">
        <f t="shared" si="34"/>
        <v>2907.576</v>
      </c>
      <c r="T52" s="13">
        <f t="shared" si="35"/>
        <v>2099.9159999999997</v>
      </c>
      <c r="U52" s="13">
        <f t="shared" si="36"/>
        <v>2342.214</v>
      </c>
      <c r="V52" s="13">
        <f t="shared" si="37"/>
        <v>1049.9579999999999</v>
      </c>
      <c r="W52" s="113">
        <f t="shared" si="38"/>
        <v>35079.366</v>
      </c>
      <c r="X52" s="113">
        <f t="shared" si="39"/>
        <v>10095.75</v>
      </c>
      <c r="Y52" s="43">
        <v>53482.86</v>
      </c>
      <c r="Z52" s="15">
        <f t="shared" si="40"/>
        <v>13327.97057559478</v>
      </c>
      <c r="AA52" s="13">
        <v>1049.96</v>
      </c>
      <c r="AB52" s="15"/>
      <c r="AC52" s="13">
        <f t="shared" si="41"/>
        <v>8640.694950115121</v>
      </c>
      <c r="AD52" s="13">
        <f t="shared" si="42"/>
        <v>2508.5888564850347</v>
      </c>
      <c r="AE52" s="13">
        <f t="shared" si="43"/>
        <v>1811.7586185725252</v>
      </c>
      <c r="AF52" s="13">
        <f t="shared" si="44"/>
        <v>2020.807689946278</v>
      </c>
      <c r="AG52" s="13">
        <f t="shared" si="45"/>
        <v>905.8793092862626</v>
      </c>
      <c r="AH52" s="155">
        <f t="shared" si="46"/>
        <v>30265.660000000003</v>
      </c>
      <c r="AI52" s="113">
        <f t="shared" si="47"/>
        <v>10095.75</v>
      </c>
      <c r="AJ52" s="43">
        <v>40361.41</v>
      </c>
      <c r="AK52" s="21">
        <v>0</v>
      </c>
      <c r="AL52" s="13">
        <v>1049.96</v>
      </c>
      <c r="AM52" s="21">
        <f t="shared" si="56"/>
        <v>0</v>
      </c>
      <c r="AN52" s="21">
        <f t="shared" si="55"/>
        <v>9538.08</v>
      </c>
      <c r="AO52" s="21">
        <f t="shared" si="48"/>
        <v>2769.12</v>
      </c>
      <c r="AP52" s="21">
        <f t="shared" si="49"/>
        <v>1999.9199999999996</v>
      </c>
      <c r="AQ52" s="21">
        <f t="shared" si="50"/>
        <v>2230.68</v>
      </c>
      <c r="AR52" s="21">
        <f t="shared" si="51"/>
        <v>999.9599999999998</v>
      </c>
      <c r="AS52" s="22">
        <f t="shared" si="52"/>
        <v>18587.719999999998</v>
      </c>
      <c r="AT52" s="21">
        <f t="shared" si="53"/>
        <v>9615</v>
      </c>
      <c r="AU52" s="21">
        <f t="shared" si="54"/>
        <v>28202.719999999998</v>
      </c>
      <c r="AV52" s="9" t="s">
        <v>46</v>
      </c>
    </row>
    <row r="53" spans="1:48" ht="23.25" customHeight="1">
      <c r="A53" s="26">
        <v>45</v>
      </c>
      <c r="B53" s="9" t="s">
        <v>47</v>
      </c>
      <c r="C53" s="11">
        <v>1082.01</v>
      </c>
      <c r="D53" s="87">
        <f t="shared" si="30"/>
        <v>5.8</v>
      </c>
      <c r="E53" s="87">
        <v>0.39</v>
      </c>
      <c r="F53" s="87"/>
      <c r="G53" s="87">
        <v>3.72</v>
      </c>
      <c r="H53" s="87">
        <v>1.08</v>
      </c>
      <c r="I53" s="87">
        <v>0.78</v>
      </c>
      <c r="J53" s="87">
        <v>0.87</v>
      </c>
      <c r="K53" s="87">
        <v>0.39</v>
      </c>
      <c r="L53" s="109">
        <f t="shared" si="31"/>
        <v>13.030000000000001</v>
      </c>
      <c r="M53" s="5">
        <v>3.75</v>
      </c>
      <c r="N53" s="196">
        <v>16.78</v>
      </c>
      <c r="O53" s="13">
        <f t="shared" si="32"/>
        <v>37653.951400000005</v>
      </c>
      <c r="P53" s="13">
        <v>2531.9</v>
      </c>
      <c r="Q53" s="13">
        <f t="shared" si="57"/>
        <v>0</v>
      </c>
      <c r="R53" s="13">
        <f t="shared" si="33"/>
        <v>24150.4632</v>
      </c>
      <c r="S53" s="13">
        <f t="shared" si="34"/>
        <v>7011.4248</v>
      </c>
      <c r="T53" s="13">
        <f t="shared" si="35"/>
        <v>5063.806799999999</v>
      </c>
      <c r="U53" s="13">
        <f t="shared" si="36"/>
        <v>5648.092199999999</v>
      </c>
      <c r="V53" s="13">
        <f t="shared" si="37"/>
        <v>2531.9033999999997</v>
      </c>
      <c r="W53" s="113">
        <f t="shared" si="38"/>
        <v>84591.5418</v>
      </c>
      <c r="X53" s="113">
        <f t="shared" si="39"/>
        <v>24345.225</v>
      </c>
      <c r="Y53" s="43">
        <v>108938.76</v>
      </c>
      <c r="Z53" s="15">
        <f t="shared" si="40"/>
        <v>38767.601853415195</v>
      </c>
      <c r="AA53" s="13">
        <v>2531.9</v>
      </c>
      <c r="AB53" s="15"/>
      <c r="AC53" s="13">
        <f t="shared" si="41"/>
        <v>24819.732939370682</v>
      </c>
      <c r="AD53" s="13">
        <f t="shared" si="42"/>
        <v>7205.728917881812</v>
      </c>
      <c r="AE53" s="13">
        <f t="shared" si="43"/>
        <v>5204.13755180353</v>
      </c>
      <c r="AF53" s="13">
        <f t="shared" si="44"/>
        <v>5804.614961627014</v>
      </c>
      <c r="AG53" s="13">
        <f t="shared" si="45"/>
        <v>2602.068775901765</v>
      </c>
      <c r="AH53" s="155">
        <f t="shared" si="46"/>
        <v>86935.785</v>
      </c>
      <c r="AI53" s="113">
        <f t="shared" si="47"/>
        <v>24345.225</v>
      </c>
      <c r="AJ53" s="43">
        <v>111281.01</v>
      </c>
      <c r="AK53" s="21">
        <v>7988.1</v>
      </c>
      <c r="AL53" s="13">
        <v>2531.9</v>
      </c>
      <c r="AM53" s="21">
        <f t="shared" si="56"/>
        <v>0</v>
      </c>
      <c r="AN53" s="21">
        <f t="shared" si="55"/>
        <v>23000.44114285714</v>
      </c>
      <c r="AO53" s="21">
        <f t="shared" si="48"/>
        <v>6677.547428571428</v>
      </c>
      <c r="AP53" s="21">
        <f t="shared" si="49"/>
        <v>4822.673142857142</v>
      </c>
      <c r="AQ53" s="21">
        <f t="shared" si="50"/>
        <v>5379.135428571428</v>
      </c>
      <c r="AR53" s="21">
        <f t="shared" si="51"/>
        <v>2411.336571428571</v>
      </c>
      <c r="AS53" s="22">
        <f t="shared" si="52"/>
        <v>52811.13371428571</v>
      </c>
      <c r="AT53" s="21">
        <f t="shared" si="53"/>
        <v>23185.92857142857</v>
      </c>
      <c r="AU53" s="21">
        <f t="shared" si="54"/>
        <v>75997.06228571427</v>
      </c>
      <c r="AV53" s="9" t="s">
        <v>47</v>
      </c>
    </row>
    <row r="54" spans="1:48" ht="23.25" customHeight="1">
      <c r="A54" s="26">
        <v>46</v>
      </c>
      <c r="B54" s="9" t="s">
        <v>48</v>
      </c>
      <c r="C54" s="11">
        <v>723.17</v>
      </c>
      <c r="D54" s="87">
        <f t="shared" si="30"/>
        <v>5.8</v>
      </c>
      <c r="E54" s="87">
        <v>0.39</v>
      </c>
      <c r="F54" s="87"/>
      <c r="G54" s="87">
        <v>3.72</v>
      </c>
      <c r="H54" s="87">
        <v>1.08</v>
      </c>
      <c r="I54" s="87">
        <v>0.78</v>
      </c>
      <c r="J54" s="87">
        <v>0.87</v>
      </c>
      <c r="K54" s="87">
        <v>0.39</v>
      </c>
      <c r="L54" s="109">
        <f t="shared" si="31"/>
        <v>13.030000000000001</v>
      </c>
      <c r="M54" s="5">
        <v>3.75</v>
      </c>
      <c r="N54" s="196">
        <v>16.78</v>
      </c>
      <c r="O54" s="13">
        <f t="shared" si="32"/>
        <v>25164.213800000005</v>
      </c>
      <c r="P54" s="13">
        <v>1694.32</v>
      </c>
      <c r="Q54" s="13">
        <f t="shared" si="57"/>
        <v>0</v>
      </c>
      <c r="R54" s="13">
        <f t="shared" si="33"/>
        <v>16141.1544</v>
      </c>
      <c r="S54" s="13">
        <f t="shared" si="34"/>
        <v>4686.1416</v>
      </c>
      <c r="T54" s="13">
        <f t="shared" si="35"/>
        <v>3384.4356</v>
      </c>
      <c r="U54" s="13">
        <f t="shared" si="36"/>
        <v>3774.9473999999996</v>
      </c>
      <c r="V54" s="13">
        <f t="shared" si="37"/>
        <v>1692.2178</v>
      </c>
      <c r="W54" s="113">
        <f t="shared" si="38"/>
        <v>56537.4306</v>
      </c>
      <c r="X54" s="113">
        <f t="shared" si="39"/>
        <v>16271.324999999999</v>
      </c>
      <c r="Y54" s="43">
        <v>72808.92</v>
      </c>
      <c r="Z54" s="15">
        <f t="shared" si="40"/>
        <v>22859.81143131235</v>
      </c>
      <c r="AA54" s="13">
        <v>1694.32</v>
      </c>
      <c r="AB54" s="15"/>
      <c r="AC54" s="13">
        <f t="shared" si="41"/>
        <v>14756.279309286263</v>
      </c>
      <c r="AD54" s="13">
        <f t="shared" si="42"/>
        <v>4284.081089792786</v>
      </c>
      <c r="AE54" s="13">
        <f t="shared" si="43"/>
        <v>3094.058564850345</v>
      </c>
      <c r="AF54" s="13">
        <f t="shared" si="44"/>
        <v>3451.0653223330773</v>
      </c>
      <c r="AG54" s="13">
        <f t="shared" si="45"/>
        <v>1547.0292824251726</v>
      </c>
      <c r="AH54" s="155">
        <f t="shared" si="46"/>
        <v>51686.645000000004</v>
      </c>
      <c r="AI54" s="113">
        <f t="shared" si="47"/>
        <v>16271.324999999999</v>
      </c>
      <c r="AJ54" s="43">
        <v>67957.97</v>
      </c>
      <c r="AK54" s="21">
        <v>329317.8</v>
      </c>
      <c r="AL54" s="13">
        <v>1694.32</v>
      </c>
      <c r="AM54" s="21">
        <f t="shared" si="56"/>
        <v>0</v>
      </c>
      <c r="AN54" s="21">
        <f t="shared" si="55"/>
        <v>15372.527999999998</v>
      </c>
      <c r="AO54" s="21">
        <f t="shared" si="48"/>
        <v>4462.992</v>
      </c>
      <c r="AP54" s="21">
        <f t="shared" si="49"/>
        <v>3223.2719999999995</v>
      </c>
      <c r="AQ54" s="21">
        <f t="shared" si="50"/>
        <v>3595.1879999999996</v>
      </c>
      <c r="AR54" s="21">
        <f t="shared" si="51"/>
        <v>1611.6359999999997</v>
      </c>
      <c r="AS54" s="22">
        <f t="shared" si="52"/>
        <v>359277.73600000003</v>
      </c>
      <c r="AT54" s="21">
        <f t="shared" si="53"/>
        <v>15496.499999999998</v>
      </c>
      <c r="AU54" s="21">
        <f t="shared" si="54"/>
        <v>374774.23600000003</v>
      </c>
      <c r="AV54" s="9" t="s">
        <v>48</v>
      </c>
    </row>
    <row r="55" spans="1:48" ht="23.25" customHeight="1">
      <c r="A55" s="26">
        <v>47</v>
      </c>
      <c r="B55" s="9" t="s">
        <v>49</v>
      </c>
      <c r="C55" s="11">
        <v>778.2</v>
      </c>
      <c r="D55" s="87">
        <f t="shared" si="30"/>
        <v>5.8</v>
      </c>
      <c r="E55" s="87">
        <v>0.39</v>
      </c>
      <c r="F55" s="87"/>
      <c r="G55" s="87">
        <v>3.72</v>
      </c>
      <c r="H55" s="87">
        <v>1.08</v>
      </c>
      <c r="I55" s="87">
        <v>0.78</v>
      </c>
      <c r="J55" s="87">
        <v>0.87</v>
      </c>
      <c r="K55" s="87">
        <v>0.39</v>
      </c>
      <c r="L55" s="109">
        <f t="shared" si="31"/>
        <v>13.030000000000001</v>
      </c>
      <c r="M55" s="5">
        <v>3.75</v>
      </c>
      <c r="N55" s="196">
        <v>16.78</v>
      </c>
      <c r="O55" s="13">
        <f t="shared" si="32"/>
        <v>27081.35800000001</v>
      </c>
      <c r="P55" s="13">
        <v>1820.99</v>
      </c>
      <c r="Q55" s="13">
        <f t="shared" si="57"/>
        <v>0</v>
      </c>
      <c r="R55" s="13">
        <f t="shared" si="33"/>
        <v>17369.424</v>
      </c>
      <c r="S55" s="13">
        <f t="shared" si="34"/>
        <v>5042.736</v>
      </c>
      <c r="T55" s="13">
        <f t="shared" si="35"/>
        <v>3641.976</v>
      </c>
      <c r="U55" s="13">
        <f t="shared" si="36"/>
        <v>4062.2039999999997</v>
      </c>
      <c r="V55" s="13">
        <f t="shared" si="37"/>
        <v>1820.988</v>
      </c>
      <c r="W55" s="113">
        <f t="shared" si="38"/>
        <v>60839.67600000001</v>
      </c>
      <c r="X55" s="113">
        <f t="shared" si="39"/>
        <v>17509.5</v>
      </c>
      <c r="Y55" s="43">
        <v>78349.26</v>
      </c>
      <c r="Z55" s="15">
        <f t="shared" si="40"/>
        <v>24171.798618572524</v>
      </c>
      <c r="AA55" s="13">
        <v>1820.99</v>
      </c>
      <c r="AB55" s="15"/>
      <c r="AC55" s="13">
        <f t="shared" si="41"/>
        <v>15620.868119723713</v>
      </c>
      <c r="AD55" s="13">
        <f t="shared" si="42"/>
        <v>4535.090744435916</v>
      </c>
      <c r="AE55" s="13">
        <f t="shared" si="43"/>
        <v>3275.3433154259396</v>
      </c>
      <c r="AF55" s="13">
        <f t="shared" si="44"/>
        <v>3653.2675441289325</v>
      </c>
      <c r="AG55" s="13">
        <f t="shared" si="45"/>
        <v>1637.6716577129698</v>
      </c>
      <c r="AH55" s="155">
        <f t="shared" si="46"/>
        <v>54715.03</v>
      </c>
      <c r="AI55" s="113">
        <f t="shared" si="47"/>
        <v>17509.5</v>
      </c>
      <c r="AJ55" s="43">
        <v>72224.53</v>
      </c>
      <c r="AK55" s="21">
        <v>5329.8</v>
      </c>
      <c r="AL55" s="13">
        <v>1820.99</v>
      </c>
      <c r="AM55" s="21">
        <f t="shared" si="56"/>
        <v>0</v>
      </c>
      <c r="AN55" s="21">
        <f t="shared" si="55"/>
        <v>16542.30857142857</v>
      </c>
      <c r="AO55" s="21">
        <f t="shared" si="48"/>
        <v>4802.605714285714</v>
      </c>
      <c r="AP55" s="21">
        <f t="shared" si="49"/>
        <v>3468.5485714285714</v>
      </c>
      <c r="AQ55" s="21">
        <f t="shared" si="50"/>
        <v>3868.765714285714</v>
      </c>
      <c r="AR55" s="21">
        <f t="shared" si="51"/>
        <v>1734.2742857142857</v>
      </c>
      <c r="AS55" s="22">
        <f t="shared" si="52"/>
        <v>37567.29285714286</v>
      </c>
      <c r="AT55" s="21">
        <f t="shared" si="53"/>
        <v>16675.714285714286</v>
      </c>
      <c r="AU55" s="21">
        <f t="shared" si="54"/>
        <v>54243.00714285714</v>
      </c>
      <c r="AV55" s="9" t="s">
        <v>49</v>
      </c>
    </row>
    <row r="56" spans="1:48" ht="23.25" customHeight="1">
      <c r="A56" s="26">
        <v>48</v>
      </c>
      <c r="B56" s="9" t="s">
        <v>50</v>
      </c>
      <c r="C56" s="11">
        <v>427.81</v>
      </c>
      <c r="D56" s="87">
        <f t="shared" si="30"/>
        <v>5.8</v>
      </c>
      <c r="E56" s="87">
        <v>0.39</v>
      </c>
      <c r="F56" s="87"/>
      <c r="G56" s="87">
        <v>3.72</v>
      </c>
      <c r="H56" s="87">
        <v>1.08</v>
      </c>
      <c r="I56" s="87">
        <v>0.78</v>
      </c>
      <c r="J56" s="87">
        <v>0.87</v>
      </c>
      <c r="K56" s="87">
        <v>0.39</v>
      </c>
      <c r="L56" s="109">
        <f t="shared" si="31"/>
        <v>13.030000000000001</v>
      </c>
      <c r="M56" s="5">
        <v>3.75</v>
      </c>
      <c r="N56" s="196">
        <v>16.78</v>
      </c>
      <c r="O56" s="13">
        <f t="shared" si="32"/>
        <v>13272.633399999999</v>
      </c>
      <c r="P56" s="13">
        <v>2616.23</v>
      </c>
      <c r="Q56" s="13">
        <f t="shared" si="57"/>
        <v>0</v>
      </c>
      <c r="R56" s="13">
        <f t="shared" si="33"/>
        <v>9548.7192</v>
      </c>
      <c r="S56" s="13">
        <f t="shared" si="34"/>
        <v>2772.2088</v>
      </c>
      <c r="T56" s="13">
        <f t="shared" si="35"/>
        <v>2002.1508</v>
      </c>
      <c r="U56" s="13">
        <f t="shared" si="36"/>
        <v>2233.1681999999996</v>
      </c>
      <c r="V56" s="13">
        <f t="shared" si="37"/>
        <v>1001.0754</v>
      </c>
      <c r="W56" s="113">
        <f t="shared" si="38"/>
        <v>33446.1858</v>
      </c>
      <c r="X56" s="113">
        <f t="shared" si="39"/>
        <v>9625.724999999999</v>
      </c>
      <c r="Y56" s="43">
        <v>38080.2</v>
      </c>
      <c r="Z56" s="15">
        <f t="shared" si="40"/>
        <v>26089.780986185728</v>
      </c>
      <c r="AA56" s="13">
        <v>2616.23</v>
      </c>
      <c r="AB56" s="15"/>
      <c r="AC56" s="13">
        <f t="shared" si="41"/>
        <v>17251.431481197236</v>
      </c>
      <c r="AD56" s="13">
        <f t="shared" si="42"/>
        <v>5008.480107444359</v>
      </c>
      <c r="AE56" s="13">
        <f t="shared" si="43"/>
        <v>3617.235633154259</v>
      </c>
      <c r="AF56" s="13">
        <f t="shared" si="44"/>
        <v>4034.608975441289</v>
      </c>
      <c r="AG56" s="13">
        <f t="shared" si="45"/>
        <v>1808.6178165771296</v>
      </c>
      <c r="AH56" s="155">
        <f t="shared" si="46"/>
        <v>60426.385</v>
      </c>
      <c r="AI56" s="113">
        <f t="shared" si="47"/>
        <v>9625.724999999999</v>
      </c>
      <c r="AJ56" s="43">
        <v>70052.11</v>
      </c>
      <c r="AK56" s="21">
        <v>0</v>
      </c>
      <c r="AL56" s="13">
        <v>2616.23</v>
      </c>
      <c r="AM56" s="21">
        <f t="shared" si="56"/>
        <v>0</v>
      </c>
      <c r="AN56" s="21">
        <f t="shared" si="55"/>
        <v>9094.018285714285</v>
      </c>
      <c r="AO56" s="21">
        <f t="shared" si="48"/>
        <v>2640.198857142857</v>
      </c>
      <c r="AP56" s="21">
        <f t="shared" si="49"/>
        <v>1906.8102857142856</v>
      </c>
      <c r="AQ56" s="21">
        <f t="shared" si="50"/>
        <v>2126.8268571428566</v>
      </c>
      <c r="AR56" s="21">
        <f t="shared" si="51"/>
        <v>953.4051428571428</v>
      </c>
      <c r="AS56" s="22">
        <f t="shared" si="52"/>
        <v>19337.48942857143</v>
      </c>
      <c r="AT56" s="21">
        <f t="shared" si="53"/>
        <v>9167.357142857141</v>
      </c>
      <c r="AU56" s="21">
        <f t="shared" si="54"/>
        <v>28504.84657142857</v>
      </c>
      <c r="AV56" s="9" t="s">
        <v>50</v>
      </c>
    </row>
    <row r="57" spans="1:48" ht="23.25" customHeight="1">
      <c r="A57" s="26">
        <v>49</v>
      </c>
      <c r="B57" s="9" t="s">
        <v>51</v>
      </c>
      <c r="C57" s="11">
        <v>569.5</v>
      </c>
      <c r="D57" s="87">
        <f t="shared" si="30"/>
        <v>5.8</v>
      </c>
      <c r="E57" s="87">
        <v>0.39</v>
      </c>
      <c r="F57" s="87"/>
      <c r="G57" s="87">
        <v>3.72</v>
      </c>
      <c r="H57" s="87">
        <v>1.08</v>
      </c>
      <c r="I57" s="87">
        <v>0.78</v>
      </c>
      <c r="J57" s="87">
        <v>0.87</v>
      </c>
      <c r="K57" s="87">
        <v>0.39</v>
      </c>
      <c r="L57" s="109">
        <f t="shared" si="31"/>
        <v>13.030000000000001</v>
      </c>
      <c r="M57" s="5">
        <v>3.75</v>
      </c>
      <c r="N57" s="196">
        <v>16.78</v>
      </c>
      <c r="O57" s="13">
        <f t="shared" si="32"/>
        <v>19818.600000000006</v>
      </c>
      <c r="P57" s="13">
        <v>1332.63</v>
      </c>
      <c r="Q57" s="13">
        <f t="shared" si="57"/>
        <v>0</v>
      </c>
      <c r="R57" s="13">
        <f t="shared" si="33"/>
        <v>12711.240000000002</v>
      </c>
      <c r="S57" s="13">
        <f t="shared" si="34"/>
        <v>3690.3600000000006</v>
      </c>
      <c r="T57" s="13">
        <f t="shared" si="35"/>
        <v>2665.26</v>
      </c>
      <c r="U57" s="13">
        <f t="shared" si="36"/>
        <v>2972.7900000000004</v>
      </c>
      <c r="V57" s="13">
        <f t="shared" si="37"/>
        <v>1332.63</v>
      </c>
      <c r="W57" s="113">
        <f t="shared" si="38"/>
        <v>44523.51000000001</v>
      </c>
      <c r="X57" s="113">
        <f t="shared" si="39"/>
        <v>12813.75</v>
      </c>
      <c r="Y57" s="43">
        <v>57296.16</v>
      </c>
      <c r="Z57" s="15">
        <f t="shared" si="40"/>
        <v>20937.66933998465</v>
      </c>
      <c r="AA57" s="13">
        <v>1332.63</v>
      </c>
      <c r="AB57" s="15"/>
      <c r="AC57" s="13">
        <f t="shared" si="41"/>
        <v>13383.766323867998</v>
      </c>
      <c r="AD57" s="13">
        <f t="shared" si="42"/>
        <v>3885.6095778971603</v>
      </c>
      <c r="AE57" s="13">
        <f t="shared" si="43"/>
        <v>2806.273584036838</v>
      </c>
      <c r="AF57" s="13">
        <f t="shared" si="44"/>
        <v>3130.0743821949345</v>
      </c>
      <c r="AG57" s="13">
        <f t="shared" si="45"/>
        <v>1403.136792018419</v>
      </c>
      <c r="AH57" s="155">
        <f t="shared" si="46"/>
        <v>46879.16</v>
      </c>
      <c r="AI57" s="113">
        <f t="shared" si="47"/>
        <v>12813.75</v>
      </c>
      <c r="AJ57" s="43">
        <v>59692.91</v>
      </c>
      <c r="AK57" s="21">
        <v>0</v>
      </c>
      <c r="AL57" s="13">
        <v>1332.63</v>
      </c>
      <c r="AM57" s="21">
        <f t="shared" si="56"/>
        <v>0</v>
      </c>
      <c r="AN57" s="21">
        <f t="shared" si="55"/>
        <v>12105.942857142858</v>
      </c>
      <c r="AO57" s="21">
        <f t="shared" si="48"/>
        <v>3514.628571428572</v>
      </c>
      <c r="AP57" s="21">
        <f t="shared" si="49"/>
        <v>2538.342857142857</v>
      </c>
      <c r="AQ57" s="21">
        <f t="shared" si="50"/>
        <v>2831.2285714285717</v>
      </c>
      <c r="AR57" s="21">
        <f t="shared" si="51"/>
        <v>1269.1714285714286</v>
      </c>
      <c r="AS57" s="22">
        <f t="shared" si="52"/>
        <v>23591.94428571429</v>
      </c>
      <c r="AT57" s="21">
        <f t="shared" si="53"/>
        <v>12203.571428571428</v>
      </c>
      <c r="AU57" s="21">
        <f t="shared" si="54"/>
        <v>35795.51571428572</v>
      </c>
      <c r="AV57" s="9" t="s">
        <v>51</v>
      </c>
    </row>
    <row r="58" spans="1:48" ht="23.25" customHeight="1">
      <c r="A58" s="26">
        <v>50</v>
      </c>
      <c r="B58" s="9" t="s">
        <v>52</v>
      </c>
      <c r="C58" s="11">
        <v>594.16</v>
      </c>
      <c r="D58" s="87">
        <f t="shared" si="30"/>
        <v>5.8</v>
      </c>
      <c r="E58" s="87">
        <v>0.39</v>
      </c>
      <c r="F58" s="87"/>
      <c r="G58" s="87">
        <v>3.72</v>
      </c>
      <c r="H58" s="87">
        <v>1.08</v>
      </c>
      <c r="I58" s="87">
        <v>0.78</v>
      </c>
      <c r="J58" s="87">
        <v>0.87</v>
      </c>
      <c r="K58" s="87">
        <v>0.39</v>
      </c>
      <c r="L58" s="109">
        <f t="shared" si="31"/>
        <v>13.030000000000001</v>
      </c>
      <c r="M58" s="5">
        <v>3.75</v>
      </c>
      <c r="N58" s="196">
        <v>16.78</v>
      </c>
      <c r="O58" s="13">
        <f t="shared" si="32"/>
        <v>20676.7724</v>
      </c>
      <c r="P58" s="13">
        <v>1390.33</v>
      </c>
      <c r="Q58" s="13">
        <f t="shared" si="57"/>
        <v>0</v>
      </c>
      <c r="R58" s="13">
        <f t="shared" si="33"/>
        <v>13261.651199999998</v>
      </c>
      <c r="S58" s="13">
        <f t="shared" si="34"/>
        <v>3850.1567999999997</v>
      </c>
      <c r="T58" s="13">
        <f t="shared" si="35"/>
        <v>2780.6688</v>
      </c>
      <c r="U58" s="13">
        <f t="shared" si="36"/>
        <v>3101.5152</v>
      </c>
      <c r="V58" s="13">
        <f t="shared" si="37"/>
        <v>1390.3344</v>
      </c>
      <c r="W58" s="113">
        <f t="shared" si="38"/>
        <v>46451.4288</v>
      </c>
      <c r="X58" s="113">
        <f t="shared" si="39"/>
        <v>13368.599999999999</v>
      </c>
      <c r="Y58" s="43">
        <v>59824.02</v>
      </c>
      <c r="Z58" s="15">
        <f t="shared" si="40"/>
        <v>27429.241120491184</v>
      </c>
      <c r="AA58" s="13">
        <v>1390.33</v>
      </c>
      <c r="AB58" s="15"/>
      <c r="AC58" s="13">
        <f t="shared" si="41"/>
        <v>17319.677636224096</v>
      </c>
      <c r="AD58" s="13">
        <f t="shared" si="42"/>
        <v>5028.293507290867</v>
      </c>
      <c r="AE58" s="13">
        <f t="shared" si="43"/>
        <v>3631.5453108211814</v>
      </c>
      <c r="AF58" s="13">
        <f t="shared" si="44"/>
        <v>4050.569769762087</v>
      </c>
      <c r="AG58" s="13">
        <f t="shared" si="45"/>
        <v>1815.7726554105907</v>
      </c>
      <c r="AH58" s="155">
        <f t="shared" si="46"/>
        <v>60665.43</v>
      </c>
      <c r="AI58" s="113">
        <f t="shared" si="47"/>
        <v>13368.599999999999</v>
      </c>
      <c r="AJ58" s="43">
        <v>74034.03</v>
      </c>
      <c r="AK58" s="21">
        <v>1561.3</v>
      </c>
      <c r="AL58" s="13">
        <v>1390.33</v>
      </c>
      <c r="AM58" s="21">
        <f t="shared" si="56"/>
        <v>0</v>
      </c>
      <c r="AN58" s="21">
        <f t="shared" si="55"/>
        <v>12630.143999999998</v>
      </c>
      <c r="AO58" s="21">
        <f t="shared" si="48"/>
        <v>3666.816</v>
      </c>
      <c r="AP58" s="21">
        <f t="shared" si="49"/>
        <v>2648.256</v>
      </c>
      <c r="AQ58" s="21">
        <f t="shared" si="50"/>
        <v>2953.8239999999996</v>
      </c>
      <c r="AR58" s="21">
        <f t="shared" si="51"/>
        <v>1324.128</v>
      </c>
      <c r="AS58" s="22">
        <f t="shared" si="52"/>
        <v>26174.798</v>
      </c>
      <c r="AT58" s="21">
        <f t="shared" si="53"/>
        <v>12731.999999999998</v>
      </c>
      <c r="AU58" s="21">
        <f t="shared" si="54"/>
        <v>38906.797999999995</v>
      </c>
      <c r="AV58" s="9" t="s">
        <v>52</v>
      </c>
    </row>
    <row r="59" spans="1:48" ht="23.25" customHeight="1">
      <c r="A59" s="26">
        <v>51</v>
      </c>
      <c r="B59" s="9" t="s">
        <v>53</v>
      </c>
      <c r="C59" s="11">
        <v>389.14</v>
      </c>
      <c r="D59" s="87">
        <f t="shared" si="30"/>
        <v>5.8</v>
      </c>
      <c r="E59" s="87">
        <v>0.39</v>
      </c>
      <c r="F59" s="87"/>
      <c r="G59" s="87">
        <v>3.72</v>
      </c>
      <c r="H59" s="87">
        <v>1.08</v>
      </c>
      <c r="I59" s="87">
        <v>0.78</v>
      </c>
      <c r="J59" s="87">
        <v>0.87</v>
      </c>
      <c r="K59" s="87">
        <v>0.39</v>
      </c>
      <c r="L59" s="109">
        <f t="shared" si="31"/>
        <v>13.030000000000001</v>
      </c>
      <c r="M59" s="5">
        <v>3.75</v>
      </c>
      <c r="N59" s="196">
        <v>16.78</v>
      </c>
      <c r="O59" s="13">
        <f t="shared" si="32"/>
        <v>13542.0696</v>
      </c>
      <c r="P59" s="13">
        <v>910.59</v>
      </c>
      <c r="Q59" s="13">
        <f>F59*C59*12</f>
        <v>0</v>
      </c>
      <c r="R59" s="13">
        <f t="shared" si="33"/>
        <v>8685.6048</v>
      </c>
      <c r="S59" s="13">
        <f t="shared" si="34"/>
        <v>2521.6272</v>
      </c>
      <c r="T59" s="13">
        <f t="shared" si="35"/>
        <v>1821.1752</v>
      </c>
      <c r="U59" s="13">
        <f t="shared" si="36"/>
        <v>2031.3107999999997</v>
      </c>
      <c r="V59" s="13">
        <f t="shared" si="37"/>
        <v>910.5876</v>
      </c>
      <c r="W59" s="113">
        <f t="shared" si="38"/>
        <v>30422.9652</v>
      </c>
      <c r="X59" s="113">
        <f t="shared" si="39"/>
        <v>8755.65</v>
      </c>
      <c r="Y59" s="43">
        <v>39146.72</v>
      </c>
      <c r="Z59" s="15">
        <f t="shared" si="40"/>
        <v>11027.886753645435</v>
      </c>
      <c r="AA59" s="13">
        <v>910.59</v>
      </c>
      <c r="AB59" s="15"/>
      <c r="AC59" s="13">
        <f t="shared" si="41"/>
        <v>7174.658081350727</v>
      </c>
      <c r="AD59" s="13">
        <f t="shared" si="42"/>
        <v>2082.9652494244046</v>
      </c>
      <c r="AE59" s="13">
        <f t="shared" si="43"/>
        <v>1504.363791250959</v>
      </c>
      <c r="AF59" s="13">
        <f t="shared" si="44"/>
        <v>1677.9442287029926</v>
      </c>
      <c r="AG59" s="13">
        <f t="shared" si="45"/>
        <v>752.1818956254795</v>
      </c>
      <c r="AH59" s="155">
        <f t="shared" si="46"/>
        <v>25130.589999999997</v>
      </c>
      <c r="AI59" s="113">
        <f t="shared" si="47"/>
        <v>8755.65</v>
      </c>
      <c r="AJ59" s="43">
        <v>33886.24</v>
      </c>
      <c r="AK59" s="21">
        <v>54999</v>
      </c>
      <c r="AL59" s="13">
        <v>910.59</v>
      </c>
      <c r="AM59" s="21">
        <f t="shared" si="56"/>
        <v>0</v>
      </c>
      <c r="AN59" s="21">
        <f t="shared" si="55"/>
        <v>8272.00457142857</v>
      </c>
      <c r="AO59" s="21">
        <f t="shared" si="48"/>
        <v>2401.549714285714</v>
      </c>
      <c r="AP59" s="21">
        <f t="shared" si="49"/>
        <v>1734.4525714285712</v>
      </c>
      <c r="AQ59" s="21">
        <f t="shared" si="50"/>
        <v>1934.581714285714</v>
      </c>
      <c r="AR59" s="21">
        <f t="shared" si="51"/>
        <v>867.2262857142856</v>
      </c>
      <c r="AS59" s="22">
        <f t="shared" si="52"/>
        <v>71119.40485714286</v>
      </c>
      <c r="AT59" s="21">
        <f t="shared" si="53"/>
        <v>8338.714285714284</v>
      </c>
      <c r="AU59" s="21">
        <f t="shared" si="54"/>
        <v>79458.11914285715</v>
      </c>
      <c r="AV59" s="9" t="s">
        <v>53</v>
      </c>
    </row>
    <row r="60" spans="1:48" ht="23.25" customHeight="1" thickBot="1">
      <c r="A60" s="26">
        <v>52</v>
      </c>
      <c r="B60" s="9" t="s">
        <v>54</v>
      </c>
      <c r="C60" s="11">
        <v>1193.65</v>
      </c>
      <c r="D60" s="87">
        <f t="shared" si="30"/>
        <v>5.8</v>
      </c>
      <c r="E60" s="87">
        <v>0.39</v>
      </c>
      <c r="F60" s="88"/>
      <c r="G60" s="87">
        <v>3.72</v>
      </c>
      <c r="H60" s="87">
        <v>1.08</v>
      </c>
      <c r="I60" s="87">
        <v>0.78</v>
      </c>
      <c r="J60" s="87">
        <v>0.87</v>
      </c>
      <c r="K60" s="87">
        <v>0.39</v>
      </c>
      <c r="L60" s="109">
        <f t="shared" si="31"/>
        <v>13.030000000000001</v>
      </c>
      <c r="M60" s="5">
        <v>3.75</v>
      </c>
      <c r="N60" s="196">
        <v>16.78</v>
      </c>
      <c r="O60" s="13">
        <f t="shared" si="32"/>
        <v>41553.621</v>
      </c>
      <c r="P60" s="13">
        <v>2778.54</v>
      </c>
      <c r="Q60" s="13">
        <f>F60*C60*6</f>
        <v>0</v>
      </c>
      <c r="R60" s="13">
        <f t="shared" si="33"/>
        <v>26642.268000000004</v>
      </c>
      <c r="S60" s="13">
        <f t="shared" si="34"/>
        <v>7734.852000000001</v>
      </c>
      <c r="T60" s="13">
        <f t="shared" si="35"/>
        <v>5586.282000000001</v>
      </c>
      <c r="U60" s="13">
        <f t="shared" si="36"/>
        <v>6230.853</v>
      </c>
      <c r="V60" s="13">
        <f t="shared" si="37"/>
        <v>2793.1410000000005</v>
      </c>
      <c r="W60" s="113">
        <f t="shared" si="38"/>
        <v>93319.55700000002</v>
      </c>
      <c r="X60" s="113">
        <f t="shared" si="39"/>
        <v>26857.125</v>
      </c>
      <c r="Y60" s="43">
        <v>120176.82</v>
      </c>
      <c r="Z60" s="15">
        <f t="shared" si="40"/>
        <v>40695.92262854952</v>
      </c>
      <c r="AA60" s="13">
        <v>2778.54</v>
      </c>
      <c r="AB60" s="15"/>
      <c r="AC60" s="13">
        <f t="shared" si="41"/>
        <v>26126.81760552571</v>
      </c>
      <c r="AD60" s="13">
        <f t="shared" si="42"/>
        <v>7585.205111281658</v>
      </c>
      <c r="AE60" s="13">
        <f t="shared" si="43"/>
        <v>5478.203691481197</v>
      </c>
      <c r="AF60" s="13">
        <f t="shared" si="44"/>
        <v>6110.304117421335</v>
      </c>
      <c r="AG60" s="13">
        <f t="shared" si="45"/>
        <v>2739.1018457405985</v>
      </c>
      <c r="AH60" s="155">
        <f t="shared" si="46"/>
        <v>91514.095</v>
      </c>
      <c r="AI60" s="113">
        <f t="shared" si="47"/>
        <v>26857.125</v>
      </c>
      <c r="AJ60" s="43">
        <v>118371.22</v>
      </c>
      <c r="AK60" s="21">
        <v>2686.4</v>
      </c>
      <c r="AL60" s="13">
        <v>2778.54</v>
      </c>
      <c r="AM60" s="21">
        <f t="shared" si="56"/>
        <v>0</v>
      </c>
      <c r="AN60" s="21">
        <f t="shared" si="55"/>
        <v>25373.588571428572</v>
      </c>
      <c r="AO60" s="21">
        <f t="shared" si="48"/>
        <v>7366.5257142857145</v>
      </c>
      <c r="AP60" s="21">
        <f t="shared" si="49"/>
        <v>5320.268571428573</v>
      </c>
      <c r="AQ60" s="21">
        <f t="shared" si="50"/>
        <v>5934.145714285714</v>
      </c>
      <c r="AR60" s="21">
        <f t="shared" si="51"/>
        <v>2660.1342857142863</v>
      </c>
      <c r="AS60" s="22">
        <f t="shared" si="52"/>
        <v>52119.60285714286</v>
      </c>
      <c r="AT60" s="21">
        <f t="shared" si="53"/>
        <v>25578.214285714286</v>
      </c>
      <c r="AU60" s="21">
        <f t="shared" si="54"/>
        <v>77697.81714285715</v>
      </c>
      <c r="AV60" s="9" t="s">
        <v>54</v>
      </c>
    </row>
    <row r="61" spans="1:48" ht="23.25" customHeight="1" thickBot="1">
      <c r="A61" s="26">
        <v>53</v>
      </c>
      <c r="B61" s="27" t="s">
        <v>55</v>
      </c>
      <c r="C61" s="28">
        <v>1252.7</v>
      </c>
      <c r="D61" s="87">
        <f t="shared" si="30"/>
        <v>6.189999999999997</v>
      </c>
      <c r="E61" s="87">
        <v>0.39</v>
      </c>
      <c r="F61" s="168">
        <v>7.55</v>
      </c>
      <c r="G61" s="87">
        <v>3.72</v>
      </c>
      <c r="H61" s="167">
        <v>1.08</v>
      </c>
      <c r="I61" s="87">
        <v>0.78</v>
      </c>
      <c r="J61" s="87">
        <v>0.87</v>
      </c>
      <c r="K61" s="87">
        <v>0.39</v>
      </c>
      <c r="L61" s="109">
        <f t="shared" si="31"/>
        <v>20.97</v>
      </c>
      <c r="M61" s="170">
        <v>3.75</v>
      </c>
      <c r="N61" s="196">
        <v>24.72</v>
      </c>
      <c r="O61" s="13">
        <f t="shared" si="32"/>
        <v>46525.27599999996</v>
      </c>
      <c r="P61" s="30">
        <v>2931.32</v>
      </c>
      <c r="Q61" s="36">
        <f>W61/20.97*7.55</f>
        <v>56747.31</v>
      </c>
      <c r="R61" s="13">
        <f t="shared" si="33"/>
        <v>27960.264</v>
      </c>
      <c r="S61" s="13">
        <f t="shared" si="34"/>
        <v>8117.496</v>
      </c>
      <c r="T61" s="13">
        <f t="shared" si="35"/>
        <v>5862.636</v>
      </c>
      <c r="U61" s="13">
        <f t="shared" si="36"/>
        <v>6539.094</v>
      </c>
      <c r="V61" s="13">
        <f t="shared" si="37"/>
        <v>2931.318</v>
      </c>
      <c r="W61" s="113">
        <f t="shared" si="38"/>
        <v>157614.71399999998</v>
      </c>
      <c r="X61" s="113">
        <f t="shared" si="39"/>
        <v>28185.75</v>
      </c>
      <c r="Y61" s="43">
        <v>173254.41</v>
      </c>
      <c r="Z61" s="15">
        <f t="shared" si="40"/>
        <v>47711.01773009062</v>
      </c>
      <c r="AA61" s="30">
        <v>2931.32</v>
      </c>
      <c r="AB61" s="36">
        <f>AH61/20.97*7.55</f>
        <v>58107.84952312828</v>
      </c>
      <c r="AC61" s="13">
        <f t="shared" si="41"/>
        <v>28630.622546494993</v>
      </c>
      <c r="AD61" s="13">
        <f t="shared" si="42"/>
        <v>8312.116223175966</v>
      </c>
      <c r="AE61" s="13">
        <f t="shared" si="43"/>
        <v>6003.195050071531</v>
      </c>
      <c r="AF61" s="13">
        <f t="shared" si="44"/>
        <v>6695.871402002861</v>
      </c>
      <c r="AG61" s="13">
        <f t="shared" si="45"/>
        <v>3001.5975250357656</v>
      </c>
      <c r="AH61" s="155">
        <f t="shared" si="46"/>
        <v>161393.59</v>
      </c>
      <c r="AI61" s="113">
        <f t="shared" si="47"/>
        <v>28185.75</v>
      </c>
      <c r="AJ61" s="43">
        <v>189579.34</v>
      </c>
      <c r="AK61" s="68">
        <v>0</v>
      </c>
      <c r="AL61" s="30">
        <v>2931.32</v>
      </c>
      <c r="AM61" s="68">
        <f>Q61</f>
        <v>56747.31</v>
      </c>
      <c r="AN61" s="21">
        <f t="shared" si="55"/>
        <v>26628.822857142855</v>
      </c>
      <c r="AO61" s="21">
        <f t="shared" si="48"/>
        <v>7730.948571428571</v>
      </c>
      <c r="AP61" s="21">
        <f t="shared" si="49"/>
        <v>5583.4628571428575</v>
      </c>
      <c r="AQ61" s="21">
        <f t="shared" si="50"/>
        <v>6227.708571428571</v>
      </c>
      <c r="AR61" s="21">
        <f t="shared" si="51"/>
        <v>2791.7314285714288</v>
      </c>
      <c r="AS61" s="69">
        <f t="shared" si="52"/>
        <v>108641.30428571429</v>
      </c>
      <c r="AT61" s="21">
        <f t="shared" si="53"/>
        <v>26843.571428571428</v>
      </c>
      <c r="AU61" s="21">
        <f t="shared" si="54"/>
        <v>135484.8757142857</v>
      </c>
      <c r="AV61" s="27" t="s">
        <v>55</v>
      </c>
    </row>
    <row r="62" spans="1:48" ht="23.25" customHeight="1">
      <c r="A62" s="26">
        <v>54</v>
      </c>
      <c r="B62" s="9" t="s">
        <v>56</v>
      </c>
      <c r="C62" s="12">
        <v>676.5</v>
      </c>
      <c r="D62" s="87">
        <f t="shared" si="30"/>
        <v>5.8</v>
      </c>
      <c r="E62" s="87">
        <v>0.39</v>
      </c>
      <c r="F62" s="89"/>
      <c r="G62" s="87">
        <v>3.72</v>
      </c>
      <c r="H62" s="87">
        <v>1.08</v>
      </c>
      <c r="I62" s="87">
        <v>0.78</v>
      </c>
      <c r="J62" s="87">
        <v>0.87</v>
      </c>
      <c r="K62" s="87">
        <v>0.39</v>
      </c>
      <c r="L62" s="109">
        <f t="shared" si="31"/>
        <v>13.030000000000001</v>
      </c>
      <c r="M62" s="5">
        <v>3.75</v>
      </c>
      <c r="N62" s="196">
        <v>16.78</v>
      </c>
      <c r="O62" s="13">
        <f t="shared" si="32"/>
        <v>23534.92</v>
      </c>
      <c r="P62" s="13">
        <v>1590.29</v>
      </c>
      <c r="Q62" s="13">
        <f>F62*C62*6</f>
        <v>0</v>
      </c>
      <c r="R62" s="13">
        <f t="shared" si="33"/>
        <v>15099.480000000001</v>
      </c>
      <c r="S62" s="13">
        <f t="shared" si="34"/>
        <v>4383.72</v>
      </c>
      <c r="T62" s="13">
        <f t="shared" si="35"/>
        <v>3166.02</v>
      </c>
      <c r="U62" s="13">
        <f t="shared" si="36"/>
        <v>3531.33</v>
      </c>
      <c r="V62" s="13">
        <f t="shared" si="37"/>
        <v>1583.01</v>
      </c>
      <c r="W62" s="113">
        <f t="shared" si="38"/>
        <v>52888.770000000004</v>
      </c>
      <c r="X62" s="113">
        <f t="shared" si="39"/>
        <v>15221.25</v>
      </c>
      <c r="Y62" s="43">
        <v>68110.14</v>
      </c>
      <c r="Z62" s="15">
        <f t="shared" si="40"/>
        <v>22143.56191864927</v>
      </c>
      <c r="AA62" s="13">
        <v>1590.29</v>
      </c>
      <c r="AB62" s="15"/>
      <c r="AC62" s="13">
        <f t="shared" si="41"/>
        <v>14263.316500383728</v>
      </c>
      <c r="AD62" s="13">
        <f t="shared" si="42"/>
        <v>4140.962854950115</v>
      </c>
      <c r="AE62" s="13">
        <f t="shared" si="43"/>
        <v>2990.6953952417493</v>
      </c>
      <c r="AF62" s="13">
        <f t="shared" si="44"/>
        <v>3335.7756331542587</v>
      </c>
      <c r="AG62" s="13">
        <f t="shared" si="45"/>
        <v>1495.3476976208747</v>
      </c>
      <c r="AH62" s="155">
        <f t="shared" si="46"/>
        <v>49959.95</v>
      </c>
      <c r="AI62" s="113">
        <f t="shared" si="47"/>
        <v>15221.25</v>
      </c>
      <c r="AJ62" s="43">
        <v>65181.2</v>
      </c>
      <c r="AK62" s="21">
        <v>0</v>
      </c>
      <c r="AL62" s="13">
        <v>1590.29</v>
      </c>
      <c r="AM62" s="21">
        <f t="shared" si="56"/>
        <v>0</v>
      </c>
      <c r="AN62" s="21">
        <f t="shared" si="55"/>
        <v>14380.457142857143</v>
      </c>
      <c r="AO62" s="21">
        <f t="shared" si="48"/>
        <v>4174.971428571429</v>
      </c>
      <c r="AP62" s="21">
        <f t="shared" si="49"/>
        <v>3015.2571428571428</v>
      </c>
      <c r="AQ62" s="21">
        <f t="shared" si="50"/>
        <v>3363.1714285714284</v>
      </c>
      <c r="AR62" s="21">
        <f t="shared" si="51"/>
        <v>1507.6285714285714</v>
      </c>
      <c r="AS62" s="22">
        <f t="shared" si="52"/>
        <v>28031.775714285715</v>
      </c>
      <c r="AT62" s="21">
        <f t="shared" si="53"/>
        <v>14496.42857142857</v>
      </c>
      <c r="AU62" s="21">
        <f t="shared" si="54"/>
        <v>42528.20428571429</v>
      </c>
      <c r="AV62" s="9" t="s">
        <v>56</v>
      </c>
    </row>
    <row r="63" spans="1:48" ht="23.25" customHeight="1">
      <c r="A63" s="26">
        <v>55</v>
      </c>
      <c r="B63" s="9" t="s">
        <v>57</v>
      </c>
      <c r="C63" s="11">
        <v>285</v>
      </c>
      <c r="D63" s="87">
        <f t="shared" si="30"/>
        <v>5.8</v>
      </c>
      <c r="E63" s="87">
        <v>0.39</v>
      </c>
      <c r="F63" s="87"/>
      <c r="G63" s="87">
        <v>3.72</v>
      </c>
      <c r="H63" s="87">
        <v>1.08</v>
      </c>
      <c r="I63" s="87">
        <v>0.78</v>
      </c>
      <c r="J63" s="87">
        <v>0.87</v>
      </c>
      <c r="K63" s="87">
        <v>0.39</v>
      </c>
      <c r="L63" s="109">
        <f t="shared" si="31"/>
        <v>13.030000000000001</v>
      </c>
      <c r="M63" s="5">
        <v>3.75</v>
      </c>
      <c r="N63" s="196">
        <v>16.78</v>
      </c>
      <c r="O63" s="13">
        <f t="shared" si="32"/>
        <v>9918.000000000002</v>
      </c>
      <c r="P63" s="13">
        <v>666.9</v>
      </c>
      <c r="Q63" s="13">
        <f>F63*C63*6</f>
        <v>0</v>
      </c>
      <c r="R63" s="13">
        <f t="shared" si="33"/>
        <v>6361.200000000001</v>
      </c>
      <c r="S63" s="13">
        <f t="shared" si="34"/>
        <v>1846.8000000000002</v>
      </c>
      <c r="T63" s="13">
        <f t="shared" si="35"/>
        <v>1333.8</v>
      </c>
      <c r="U63" s="13">
        <f t="shared" si="36"/>
        <v>1487.7</v>
      </c>
      <c r="V63" s="13">
        <f t="shared" si="37"/>
        <v>666.9</v>
      </c>
      <c r="W63" s="113">
        <f t="shared" si="38"/>
        <v>22281.300000000003</v>
      </c>
      <c r="X63" s="113">
        <f t="shared" si="39"/>
        <v>6412.5</v>
      </c>
      <c r="Y63" s="43">
        <v>28693.8</v>
      </c>
      <c r="Z63" s="15">
        <f t="shared" si="40"/>
        <v>11538.388081350733</v>
      </c>
      <c r="AA63" s="13">
        <v>666.9</v>
      </c>
      <c r="AB63" s="15"/>
      <c r="AC63" s="13">
        <f t="shared" si="41"/>
        <v>7335.003499616269</v>
      </c>
      <c r="AD63" s="13">
        <f t="shared" si="42"/>
        <v>2129.5171450498847</v>
      </c>
      <c r="AE63" s="13">
        <f t="shared" si="43"/>
        <v>1537.98460475825</v>
      </c>
      <c r="AF63" s="13">
        <f t="shared" si="44"/>
        <v>1715.4443668457404</v>
      </c>
      <c r="AG63" s="13">
        <f t="shared" si="45"/>
        <v>768.992302379125</v>
      </c>
      <c r="AH63" s="155">
        <f t="shared" si="46"/>
        <v>25692.23</v>
      </c>
      <c r="AI63" s="113">
        <f t="shared" si="47"/>
        <v>6412.5</v>
      </c>
      <c r="AJ63" s="43">
        <v>32104.73</v>
      </c>
      <c r="AK63" s="21">
        <v>0</v>
      </c>
      <c r="AL63" s="13">
        <v>666.9</v>
      </c>
      <c r="AM63" s="21">
        <f t="shared" si="56"/>
        <v>0</v>
      </c>
      <c r="AN63" s="21">
        <f t="shared" si="55"/>
        <v>6058.285714285715</v>
      </c>
      <c r="AO63" s="21">
        <f t="shared" si="48"/>
        <v>1758.857142857143</v>
      </c>
      <c r="AP63" s="21">
        <f t="shared" si="49"/>
        <v>1270.2857142857142</v>
      </c>
      <c r="AQ63" s="21">
        <f t="shared" si="50"/>
        <v>1416.857142857143</v>
      </c>
      <c r="AR63" s="21">
        <f t="shared" si="51"/>
        <v>635.1428571428571</v>
      </c>
      <c r="AS63" s="22">
        <f t="shared" si="52"/>
        <v>11806.32857142857</v>
      </c>
      <c r="AT63" s="21">
        <f t="shared" si="53"/>
        <v>6107.142857142857</v>
      </c>
      <c r="AU63" s="21">
        <f t="shared" si="54"/>
        <v>17913.47142857143</v>
      </c>
      <c r="AV63" s="9" t="s">
        <v>57</v>
      </c>
    </row>
    <row r="64" spans="1:48" ht="23.25" customHeight="1">
      <c r="A64" s="26">
        <v>56</v>
      </c>
      <c r="B64" s="99" t="s">
        <v>98</v>
      </c>
      <c r="C64" s="100">
        <v>726.91</v>
      </c>
      <c r="D64" s="87">
        <f t="shared" si="30"/>
        <v>5.87</v>
      </c>
      <c r="E64" s="87">
        <v>0.32</v>
      </c>
      <c r="F64" s="88"/>
      <c r="G64" s="87">
        <v>3.72</v>
      </c>
      <c r="H64" s="87">
        <v>1.08</v>
      </c>
      <c r="I64" s="87">
        <v>0.78</v>
      </c>
      <c r="J64" s="87">
        <v>0.87</v>
      </c>
      <c r="K64" s="87">
        <v>0.39</v>
      </c>
      <c r="L64" s="109">
        <f t="shared" si="31"/>
        <v>13.030000000000001</v>
      </c>
      <c r="M64" s="5">
        <v>3.75</v>
      </c>
      <c r="N64" s="196">
        <v>16.78</v>
      </c>
      <c r="O64" s="13">
        <f t="shared" si="32"/>
        <v>25608.90740000001</v>
      </c>
      <c r="P64" s="46">
        <v>1388.53</v>
      </c>
      <c r="Q64" s="46">
        <f>F64*C64*6</f>
        <v>0</v>
      </c>
      <c r="R64" s="13">
        <f t="shared" si="33"/>
        <v>16224.631199999998</v>
      </c>
      <c r="S64" s="13">
        <f t="shared" si="34"/>
        <v>4710.376799999999</v>
      </c>
      <c r="T64" s="13">
        <f t="shared" si="35"/>
        <v>3401.9387999999994</v>
      </c>
      <c r="U64" s="13">
        <f t="shared" si="36"/>
        <v>3794.4701999999993</v>
      </c>
      <c r="V64" s="13">
        <f t="shared" si="37"/>
        <v>1700.9693999999997</v>
      </c>
      <c r="W64" s="113">
        <f t="shared" si="38"/>
        <v>56829.8238</v>
      </c>
      <c r="X64" s="113">
        <f t="shared" si="39"/>
        <v>16355.474999999999</v>
      </c>
      <c r="Y64" s="43">
        <v>69374</v>
      </c>
      <c r="Z64" s="15">
        <f t="shared" si="40"/>
        <v>24886.107893323104</v>
      </c>
      <c r="AA64" s="46">
        <v>1388.53</v>
      </c>
      <c r="AB64" s="101"/>
      <c r="AC64" s="13">
        <f t="shared" si="41"/>
        <v>15790.250882578664</v>
      </c>
      <c r="AD64" s="13">
        <f t="shared" si="42"/>
        <v>4584.266385264774</v>
      </c>
      <c r="AE64" s="13">
        <f t="shared" si="43"/>
        <v>3310.859056024559</v>
      </c>
      <c r="AF64" s="13">
        <f t="shared" si="44"/>
        <v>3692.881254796623</v>
      </c>
      <c r="AG64" s="13">
        <f t="shared" si="45"/>
        <v>1655.4295280122794</v>
      </c>
      <c r="AH64" s="155">
        <f t="shared" si="46"/>
        <v>55308.325000000004</v>
      </c>
      <c r="AI64" s="113">
        <f t="shared" si="47"/>
        <v>16355.474999999999</v>
      </c>
      <c r="AJ64" s="43">
        <v>71663.8</v>
      </c>
      <c r="AK64" s="102">
        <v>33215</v>
      </c>
      <c r="AL64" s="46">
        <v>1388.53</v>
      </c>
      <c r="AM64" s="102">
        <f t="shared" si="56"/>
        <v>0</v>
      </c>
      <c r="AN64" s="21">
        <f t="shared" si="55"/>
        <v>15452.029714285713</v>
      </c>
      <c r="AO64" s="21">
        <f t="shared" si="48"/>
        <v>4486.073142857142</v>
      </c>
      <c r="AP64" s="21">
        <f t="shared" si="49"/>
        <v>3239.9417142857137</v>
      </c>
      <c r="AQ64" s="21">
        <f t="shared" si="50"/>
        <v>3613.781142857142</v>
      </c>
      <c r="AR64" s="21">
        <f t="shared" si="51"/>
        <v>1619.9708571428569</v>
      </c>
      <c r="AS64" s="103">
        <f t="shared" si="52"/>
        <v>63015.32657142857</v>
      </c>
      <c r="AT64" s="21">
        <f t="shared" si="53"/>
        <v>15576.642857142855</v>
      </c>
      <c r="AU64" s="21">
        <f t="shared" si="54"/>
        <v>78591.96942857144</v>
      </c>
      <c r="AV64" s="99" t="s">
        <v>58</v>
      </c>
    </row>
    <row r="65" spans="1:48" ht="15">
      <c r="A65" s="26"/>
      <c r="B65" s="10"/>
      <c r="C65" s="10"/>
      <c r="D65" s="110"/>
      <c r="E65" s="111"/>
      <c r="F65" s="111"/>
      <c r="G65" s="111"/>
      <c r="H65" s="111"/>
      <c r="I65" s="111"/>
      <c r="J65" s="111"/>
      <c r="K65" s="112"/>
      <c r="L65" s="109"/>
      <c r="M65" s="8"/>
      <c r="N65" s="8"/>
      <c r="O65" s="13"/>
      <c r="P65" s="41"/>
      <c r="Q65" s="41">
        <f>F65*C65*6</f>
        <v>0</v>
      </c>
      <c r="R65" s="13"/>
      <c r="S65" s="13"/>
      <c r="T65" s="13"/>
      <c r="U65" s="13"/>
      <c r="V65" s="13"/>
      <c r="W65" s="113"/>
      <c r="X65" s="113"/>
      <c r="Y65" s="43"/>
      <c r="Z65" s="101"/>
      <c r="AA65" s="8"/>
      <c r="AB65" s="8"/>
      <c r="AC65" s="8">
        <f>AH65/14.68*2.7</f>
        <v>0</v>
      </c>
      <c r="AD65" s="8">
        <f>AH65/14.68*0.97</f>
        <v>0</v>
      </c>
      <c r="AE65" s="8">
        <f>AH65/14.68*0.75</f>
        <v>0</v>
      </c>
      <c r="AF65" s="8">
        <f>AH65/14.68*0.55</f>
        <v>0</v>
      </c>
      <c r="AG65" s="15">
        <f>AH65/14.68*0.37</f>
        <v>0</v>
      </c>
      <c r="AH65" s="155"/>
      <c r="AI65" s="192"/>
      <c r="AJ65" s="201"/>
      <c r="AK65" s="40"/>
      <c r="AL65" s="44"/>
      <c r="AM65" s="44"/>
      <c r="AN65" s="44"/>
      <c r="AO65" s="44"/>
      <c r="AP65" s="44"/>
      <c r="AQ65" s="44"/>
      <c r="AR65" s="73"/>
      <c r="AS65" s="74">
        <f t="shared" si="52"/>
        <v>0</v>
      </c>
      <c r="AT65" s="8"/>
      <c r="AU65" s="8"/>
      <c r="AV65" s="10"/>
    </row>
    <row r="66" spans="3:47" ht="12.75">
      <c r="C66" s="3">
        <f>SUM(C6:C65)</f>
        <v>36491.52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>
        <f aca="true" t="shared" si="58" ref="O66:W66">SUM(O6:O65)</f>
        <v>1130704.5616000001</v>
      </c>
      <c r="P66" s="19">
        <f t="shared" si="58"/>
        <v>98973.13999999998</v>
      </c>
      <c r="Q66" s="19">
        <f t="shared" si="58"/>
        <v>246002.10299999997</v>
      </c>
      <c r="R66" s="19">
        <f>SUM(R6:R65)</f>
        <v>814490.7264</v>
      </c>
      <c r="S66" s="19">
        <f t="shared" si="58"/>
        <v>236465.0496</v>
      </c>
      <c r="T66" s="19">
        <f t="shared" si="58"/>
        <v>170780.31360000002</v>
      </c>
      <c r="U66" s="19">
        <f t="shared" si="58"/>
        <v>190485.73440000002</v>
      </c>
      <c r="V66" s="19">
        <f t="shared" si="58"/>
        <v>85390.15680000001</v>
      </c>
      <c r="W66" s="70">
        <f t="shared" si="58"/>
        <v>2973291.7854000004</v>
      </c>
      <c r="X66" s="114">
        <f>SUM(X9:X65)+X8+X7+X6</f>
        <v>821059.1999999997</v>
      </c>
      <c r="Y66" s="114">
        <f>SUM(Y9:Y65)+Y8+Y7+Y6</f>
        <v>3780642.84</v>
      </c>
      <c r="Z66" s="20">
        <f>SUM(Z6:Z65)</f>
        <v>1147797.8418746</v>
      </c>
      <c r="AA66" s="75">
        <f aca="true" t="shared" si="59" ref="AA66:AG66">SUM(AA6:AA65)</f>
        <v>98973.13999999998</v>
      </c>
      <c r="AB66" s="75">
        <f t="shared" si="59"/>
        <v>269130.05596593034</v>
      </c>
      <c r="AC66" s="75">
        <f t="shared" si="59"/>
        <v>833474.0938060277</v>
      </c>
      <c r="AD66" s="75">
        <f t="shared" si="59"/>
        <v>241976.34981465313</v>
      </c>
      <c r="AE66" s="75">
        <f t="shared" si="59"/>
        <v>174760.69708836055</v>
      </c>
      <c r="AF66" s="75">
        <f t="shared" si="59"/>
        <v>194925.39290624837</v>
      </c>
      <c r="AG66" s="75">
        <f t="shared" si="59"/>
        <v>87380.34854418028</v>
      </c>
      <c r="AH66" s="193">
        <f>SUM(AH9:AH65)+AH8+AH7+AH6</f>
        <v>3048417.92</v>
      </c>
      <c r="AI66" s="193">
        <f>SUM(AI9:AI65)+AI8+AI7+AI6</f>
        <v>821059.1999999997</v>
      </c>
      <c r="AJ66" s="193">
        <f>SUM(AJ9:AJ65)+AJ8+AJ7+AJ6</f>
        <v>3869477.119999999</v>
      </c>
      <c r="AK66" s="74">
        <f aca="true" t="shared" si="60" ref="AK66:AR66">SUM(AK6:AK65)</f>
        <v>1564792.5000000002</v>
      </c>
      <c r="AL66" s="74">
        <f>SUM(AL6:AL65)</f>
        <v>98973.13999999998</v>
      </c>
      <c r="AM66" s="74">
        <f t="shared" si="60"/>
        <v>246002.10299999997</v>
      </c>
      <c r="AN66" s="72">
        <f>SUM(AN6:AN65)</f>
        <v>775705.4537142857</v>
      </c>
      <c r="AO66" s="72">
        <f t="shared" si="60"/>
        <v>225204.80914285715</v>
      </c>
      <c r="AP66" s="71">
        <f>SUM(AP6:AP65)</f>
        <v>162647.9177142857</v>
      </c>
      <c r="AQ66" s="72">
        <f t="shared" si="60"/>
        <v>181414.98514285716</v>
      </c>
      <c r="AR66" s="72">
        <f t="shared" si="60"/>
        <v>81323.95885714285</v>
      </c>
      <c r="AS66" s="73">
        <f>SUM(AS6:AS65)</f>
        <v>3336064.8675714284</v>
      </c>
      <c r="AT66" s="73">
        <f>SUM(AT6:AT65)</f>
        <v>802769.7000000001</v>
      </c>
      <c r="AU66" s="73">
        <f>SUM(AU6:AU65)</f>
        <v>4138834.567571428</v>
      </c>
    </row>
    <row r="67" spans="22:47" ht="16.5" customHeight="1">
      <c r="V67" s="57">
        <f>SUM(O66:V66)</f>
        <v>2973291.7854</v>
      </c>
      <c r="W67" s="115"/>
      <c r="X67" s="114"/>
      <c r="Y67" s="65"/>
      <c r="AA67" s="54"/>
      <c r="AB67" s="54"/>
      <c r="AC67" s="54"/>
      <c r="AD67" s="54"/>
      <c r="AE67" s="54"/>
      <c r="AF67" s="54"/>
      <c r="AG67" s="54"/>
      <c r="AH67" s="194">
        <v>2807009.83</v>
      </c>
      <c r="AI67" s="195">
        <v>762246.53</v>
      </c>
      <c r="AJ67" s="145"/>
      <c r="AK67" s="54"/>
      <c r="AL67" s="54"/>
      <c r="AM67" s="54"/>
      <c r="AN67" s="54"/>
      <c r="AO67" s="54"/>
      <c r="AP67" s="54"/>
      <c r="AQ67" s="54"/>
      <c r="AR67" s="54"/>
      <c r="AS67" s="72">
        <f>SUM(AK66:AR66)</f>
        <v>3336064.867571429</v>
      </c>
      <c r="AU67" s="17">
        <f>AS66+AT66</f>
        <v>4138834.5675714286</v>
      </c>
    </row>
    <row r="68" spans="13:43" ht="12.75">
      <c r="M68">
        <f>C61</f>
        <v>1252.7</v>
      </c>
      <c r="N68" s="17">
        <f>N61</f>
        <v>24.72</v>
      </c>
      <c r="O68">
        <f>N68*M68</f>
        <v>30966.744</v>
      </c>
      <c r="X68" s="17"/>
      <c r="Y68" s="17"/>
      <c r="AH68" s="17"/>
      <c r="AQ68" s="71"/>
    </row>
    <row r="69" spans="13:15" ht="12.75">
      <c r="M69">
        <f>C48+C47+C45+C44+C32+C9+C8</f>
        <v>4177.8099999999995</v>
      </c>
      <c r="N69" s="17">
        <f>N32</f>
        <v>19.31</v>
      </c>
      <c r="O69">
        <f>N69*M69</f>
        <v>80673.51109999999</v>
      </c>
    </row>
    <row r="70" spans="13:15" ht="12.75">
      <c r="M70">
        <f>C66-M68-M69-M71</f>
        <v>30489.050000000003</v>
      </c>
      <c r="N70" s="17">
        <f>N63</f>
        <v>16.78</v>
      </c>
      <c r="O70">
        <f>N70*M70</f>
        <v>511606.2590000001</v>
      </c>
    </row>
    <row r="71" spans="13:15" ht="12.75">
      <c r="M71">
        <f>C12</f>
        <v>571.96</v>
      </c>
      <c r="N71" s="17">
        <f>N12</f>
        <v>16.78</v>
      </c>
      <c r="O71">
        <f>N71*M71</f>
        <v>9597.488800000001</v>
      </c>
    </row>
    <row r="73" spans="13:15" ht="12.75">
      <c r="M73">
        <f>SUM(M68:M72)</f>
        <v>36491.520000000004</v>
      </c>
      <c r="O73">
        <f>SUM(O68:O72)</f>
        <v>632844.0029000001</v>
      </c>
    </row>
    <row r="75" spans="13:15" ht="12.75">
      <c r="M75" t="s">
        <v>162</v>
      </c>
      <c r="O75">
        <f>O73/M73</f>
        <v>17.342220957088113</v>
      </c>
    </row>
  </sheetData>
  <sheetProtection/>
  <mergeCells count="24">
    <mergeCell ref="O36:V37"/>
    <mergeCell ref="X36:X38"/>
    <mergeCell ref="Z36:AT36"/>
    <mergeCell ref="AV36:AV38"/>
    <mergeCell ref="Z37:AH37"/>
    <mergeCell ref="AI37:AI38"/>
    <mergeCell ref="AK37:AS37"/>
    <mergeCell ref="AT37:AT38"/>
    <mergeCell ref="Z3:AT3"/>
    <mergeCell ref="AV3:AV5"/>
    <mergeCell ref="Z4:AH4"/>
    <mergeCell ref="AI4:AI5"/>
    <mergeCell ref="AK4:AS4"/>
    <mergeCell ref="AT4:AT5"/>
    <mergeCell ref="O3:V4"/>
    <mergeCell ref="X3:X5"/>
    <mergeCell ref="B36:B38"/>
    <mergeCell ref="C36:C38"/>
    <mergeCell ref="B3:B5"/>
    <mergeCell ref="C3:C5"/>
    <mergeCell ref="D3:K4"/>
    <mergeCell ref="M3:M5"/>
    <mergeCell ref="D36:K37"/>
    <mergeCell ref="M36:M38"/>
  </mergeCells>
  <printOptions/>
  <pageMargins left="0.75" right="0.75" top="1" bottom="1" header="0.5" footer="0.5"/>
  <pageSetup horizontalDpi="600" verticalDpi="600" orientation="landscape" pageOrder="overThenDown" paperSize="9" scale="75" r:id="rId1"/>
  <rowBreaks count="1" manualBreakCount="1">
    <brk id="35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72"/>
  <sheetViews>
    <sheetView tabSelected="1" zoomScaleSheetLayoutView="100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8" sqref="Y8"/>
    </sheetView>
  </sheetViews>
  <sheetFormatPr defaultColWidth="9.00390625" defaultRowHeight="12.75"/>
  <cols>
    <col min="1" max="1" width="4.375" style="0" customWidth="1"/>
    <col min="2" max="2" width="15.375" style="0" customWidth="1"/>
    <col min="3" max="3" width="8.375" style="0" customWidth="1"/>
    <col min="4" max="4" width="6.00390625" style="0" customWidth="1"/>
    <col min="5" max="5" width="5.625" style="0" customWidth="1"/>
    <col min="6" max="6" width="6.375" style="0" customWidth="1"/>
    <col min="7" max="7" width="5.125" style="0" customWidth="1"/>
    <col min="8" max="8" width="5.625" style="0" customWidth="1"/>
    <col min="9" max="10" width="6.50390625" style="0" customWidth="1"/>
    <col min="12" max="14" width="7.50390625" style="0" customWidth="1"/>
    <col min="15" max="15" width="11.125" style="0" customWidth="1"/>
    <col min="19" max="19" width="12.50390625" style="0" customWidth="1"/>
    <col min="22" max="22" width="7.625" style="0" customWidth="1"/>
    <col min="23" max="23" width="9.50390625" style="0" bestFit="1" customWidth="1"/>
    <col min="24" max="25" width="9.50390625" style="0" customWidth="1"/>
    <col min="26" max="26" width="10.50390625" style="0" customWidth="1"/>
    <col min="27" max="28" width="8.375" style="0" customWidth="1"/>
    <col min="29" max="29" width="8.50390625" style="0" customWidth="1"/>
    <col min="30" max="30" width="8.125" style="0" customWidth="1"/>
    <col min="33" max="33" width="8.875" style="0" customWidth="1"/>
    <col min="34" max="34" width="11.00390625" style="0" customWidth="1"/>
    <col min="35" max="35" width="10.50390625" style="0" bestFit="1" customWidth="1"/>
    <col min="36" max="36" width="11.50390625" style="0" customWidth="1"/>
    <col min="37" max="37" width="8.50390625" style="0" customWidth="1"/>
    <col min="38" max="38" width="7.125" style="0" customWidth="1"/>
    <col min="39" max="39" width="9.50390625" style="0" customWidth="1"/>
    <col min="40" max="40" width="8.375" style="0" customWidth="1"/>
    <col min="41" max="41" width="8.125" style="0" customWidth="1"/>
    <col min="42" max="42" width="9.625" style="0" customWidth="1"/>
    <col min="43" max="43" width="8.50390625" style="0" customWidth="1"/>
    <col min="44" max="44" width="8.625" style="0" customWidth="1"/>
    <col min="45" max="45" width="9.875" style="0" customWidth="1"/>
    <col min="46" max="46" width="10.625" style="0" customWidth="1"/>
    <col min="47" max="47" width="9.375" style="0" customWidth="1"/>
    <col min="48" max="48" width="13.125" style="0" customWidth="1"/>
  </cols>
  <sheetData>
    <row r="1" spans="2:47" s="94" customFormat="1" ht="17.25">
      <c r="B1" s="1"/>
      <c r="C1" s="94" t="s">
        <v>166</v>
      </c>
      <c r="J1" s="1"/>
      <c r="K1" s="1"/>
      <c r="L1" s="1"/>
      <c r="M1" s="1"/>
      <c r="N1" s="1"/>
      <c r="O1" s="1"/>
      <c r="P1" s="1"/>
      <c r="Q1" s="1"/>
      <c r="R1" s="1"/>
      <c r="S1" s="1"/>
      <c r="T1" s="7"/>
      <c r="U1" s="97"/>
      <c r="V1" s="7"/>
      <c r="W1" s="7"/>
      <c r="X1" s="7"/>
      <c r="Y1" s="7"/>
      <c r="Z1" s="7"/>
      <c r="AA1" s="7"/>
      <c r="AB1" s="95"/>
      <c r="AC1" s="95"/>
      <c r="AD1" s="95"/>
      <c r="AE1" s="95"/>
      <c r="AF1" s="95"/>
      <c r="AG1" s="7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2:47" ht="12.75" customHeight="1" thickBot="1">
      <c r="B2" s="2"/>
      <c r="C2" s="2"/>
      <c r="D2" s="2"/>
      <c r="E2" s="2"/>
      <c r="F2" s="2"/>
      <c r="G2" s="2"/>
      <c r="H2" s="2"/>
      <c r="I2" s="217" t="s">
        <v>167</v>
      </c>
      <c r="J2" s="217"/>
      <c r="K2" s="21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96"/>
      <c r="AD2" s="96"/>
      <c r="AE2" s="96"/>
      <c r="AF2" s="96"/>
      <c r="AG2" s="2"/>
      <c r="AH2" s="2"/>
      <c r="AI2" s="2"/>
      <c r="AJ2" s="2"/>
      <c r="AK2" s="2" t="s">
        <v>61</v>
      </c>
      <c r="AL2" s="2"/>
      <c r="AM2" s="2"/>
      <c r="AN2" s="2"/>
      <c r="AO2" s="2"/>
      <c r="AP2" s="2"/>
      <c r="AQ2" s="2"/>
      <c r="AR2" s="2"/>
      <c r="AS2" s="2"/>
      <c r="AT2" s="6" t="s">
        <v>7</v>
      </c>
      <c r="AU2" s="6"/>
    </row>
    <row r="3" spans="1:48" ht="12.75" customHeight="1">
      <c r="A3" s="23"/>
      <c r="B3" s="224" t="s">
        <v>0</v>
      </c>
      <c r="C3" s="231" t="s">
        <v>1</v>
      </c>
      <c r="D3" s="245" t="s">
        <v>8</v>
      </c>
      <c r="E3" s="246"/>
      <c r="F3" s="246"/>
      <c r="G3" s="246"/>
      <c r="H3" s="246"/>
      <c r="I3" s="246"/>
      <c r="J3" s="246"/>
      <c r="K3" s="253"/>
      <c r="L3" s="118"/>
      <c r="M3" s="122"/>
      <c r="N3" s="122"/>
      <c r="O3" s="245" t="s">
        <v>81</v>
      </c>
      <c r="P3" s="246"/>
      <c r="Q3" s="246"/>
      <c r="R3" s="246"/>
      <c r="S3" s="246"/>
      <c r="T3" s="246"/>
      <c r="U3" s="246"/>
      <c r="V3" s="121"/>
      <c r="W3" s="121"/>
      <c r="X3" s="121"/>
      <c r="Y3" s="140"/>
      <c r="Z3" s="229" t="s">
        <v>203</v>
      </c>
      <c r="AA3" s="230"/>
      <c r="AB3" s="240"/>
      <c r="AC3" s="240"/>
      <c r="AD3" s="240"/>
      <c r="AE3" s="240"/>
      <c r="AF3" s="24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5"/>
      <c r="AV3" s="249" t="s">
        <v>0</v>
      </c>
    </row>
    <row r="4" spans="1:48" ht="13.5" customHeight="1" thickBot="1">
      <c r="A4" s="25"/>
      <c r="B4" s="230"/>
      <c r="C4" s="231"/>
      <c r="D4" s="254"/>
      <c r="E4" s="255"/>
      <c r="F4" s="255"/>
      <c r="G4" s="255"/>
      <c r="H4" s="255"/>
      <c r="I4" s="255"/>
      <c r="J4" s="255"/>
      <c r="K4" s="255"/>
      <c r="L4" s="119"/>
      <c r="M4" s="123"/>
      <c r="N4" s="147"/>
      <c r="O4" s="247"/>
      <c r="P4" s="248"/>
      <c r="Q4" s="248"/>
      <c r="R4" s="248"/>
      <c r="S4" s="248"/>
      <c r="T4" s="248"/>
      <c r="U4" s="248"/>
      <c r="V4" s="138"/>
      <c r="W4" s="138"/>
      <c r="X4" s="140"/>
      <c r="Y4" s="140"/>
      <c r="Z4" s="229" t="s">
        <v>82</v>
      </c>
      <c r="AA4" s="230"/>
      <c r="AB4" s="230"/>
      <c r="AC4" s="230"/>
      <c r="AD4" s="230"/>
      <c r="AE4" s="230"/>
      <c r="AF4" s="230"/>
      <c r="AG4" s="230"/>
      <c r="AH4" s="230"/>
      <c r="AI4" s="224" t="s">
        <v>126</v>
      </c>
      <c r="AJ4" s="4"/>
      <c r="AK4" s="230" t="s">
        <v>4</v>
      </c>
      <c r="AL4" s="230"/>
      <c r="AM4" s="230"/>
      <c r="AN4" s="230"/>
      <c r="AO4" s="230"/>
      <c r="AP4" s="230"/>
      <c r="AQ4" s="230"/>
      <c r="AR4" s="230"/>
      <c r="AS4" s="230"/>
      <c r="AT4" s="224" t="s">
        <v>128</v>
      </c>
      <c r="AU4" s="4"/>
      <c r="AV4" s="250"/>
    </row>
    <row r="5" spans="1:48" ht="99.75" customHeight="1">
      <c r="A5" s="24" t="s">
        <v>65</v>
      </c>
      <c r="B5" s="230"/>
      <c r="C5" s="224"/>
      <c r="D5" s="83" t="s">
        <v>89</v>
      </c>
      <c r="E5" s="84" t="s">
        <v>84</v>
      </c>
      <c r="F5" s="84" t="s">
        <v>90</v>
      </c>
      <c r="G5" s="84" t="s">
        <v>91</v>
      </c>
      <c r="H5" s="84" t="s">
        <v>92</v>
      </c>
      <c r="I5" s="84" t="s">
        <v>117</v>
      </c>
      <c r="J5" s="84" t="s">
        <v>83</v>
      </c>
      <c r="K5" s="84" t="s">
        <v>115</v>
      </c>
      <c r="L5" s="85" t="s">
        <v>70</v>
      </c>
      <c r="M5" s="124" t="s">
        <v>118</v>
      </c>
      <c r="N5" s="141" t="s">
        <v>136</v>
      </c>
      <c r="O5" s="143" t="s">
        <v>89</v>
      </c>
      <c r="P5" s="84" t="s">
        <v>84</v>
      </c>
      <c r="Q5" s="84" t="s">
        <v>90</v>
      </c>
      <c r="R5" s="84" t="s">
        <v>196</v>
      </c>
      <c r="S5" s="84" t="s">
        <v>197</v>
      </c>
      <c r="T5" s="84" t="s">
        <v>198</v>
      </c>
      <c r="U5" s="84" t="s">
        <v>199</v>
      </c>
      <c r="V5" s="84" t="s">
        <v>200</v>
      </c>
      <c r="W5" s="85" t="s">
        <v>123</v>
      </c>
      <c r="X5" s="141" t="s">
        <v>124</v>
      </c>
      <c r="Y5" s="141" t="s">
        <v>136</v>
      </c>
      <c r="Z5" s="83" t="s">
        <v>89</v>
      </c>
      <c r="AA5" s="84" t="s">
        <v>84</v>
      </c>
      <c r="AB5" s="84" t="s">
        <v>90</v>
      </c>
      <c r="AC5" s="84" t="s">
        <v>201</v>
      </c>
      <c r="AD5" s="84" t="s">
        <v>197</v>
      </c>
      <c r="AE5" s="84" t="s">
        <v>198</v>
      </c>
      <c r="AF5" s="84" t="s">
        <v>199</v>
      </c>
      <c r="AG5" s="84" t="s">
        <v>202</v>
      </c>
      <c r="AH5" s="85" t="s">
        <v>127</v>
      </c>
      <c r="AI5" s="224"/>
      <c r="AJ5" s="141" t="s">
        <v>136</v>
      </c>
      <c r="AK5" s="83" t="s">
        <v>89</v>
      </c>
      <c r="AL5" s="84" t="s">
        <v>84</v>
      </c>
      <c r="AM5" s="84" t="s">
        <v>90</v>
      </c>
      <c r="AN5" s="84" t="s">
        <v>91</v>
      </c>
      <c r="AO5" s="84" t="s">
        <v>92</v>
      </c>
      <c r="AP5" s="84" t="s">
        <v>93</v>
      </c>
      <c r="AQ5" s="84" t="s">
        <v>83</v>
      </c>
      <c r="AR5" s="84" t="s">
        <v>115</v>
      </c>
      <c r="AS5" s="85" t="s">
        <v>70</v>
      </c>
      <c r="AT5" s="224"/>
      <c r="AU5" s="141" t="s">
        <v>136</v>
      </c>
      <c r="AV5" s="250"/>
    </row>
    <row r="6" spans="1:48" ht="24" customHeight="1">
      <c r="A6" s="26">
        <v>1</v>
      </c>
      <c r="B6" s="9" t="s">
        <v>10</v>
      </c>
      <c r="C6" s="11">
        <v>846.55</v>
      </c>
      <c r="D6" s="86">
        <f>L6-E6-F6-G6-H6-I6-J6-K6</f>
        <v>6.119999999999998</v>
      </c>
      <c r="E6" s="87">
        <f>P6/C6/6</f>
        <v>0.3</v>
      </c>
      <c r="F6" s="87"/>
      <c r="G6" s="87">
        <v>3.26</v>
      </c>
      <c r="H6" s="87">
        <v>1.08</v>
      </c>
      <c r="I6" s="87">
        <v>0.78</v>
      </c>
      <c r="J6" s="87">
        <v>0.61</v>
      </c>
      <c r="K6" s="87">
        <v>0.39</v>
      </c>
      <c r="L6" s="109">
        <v>12.54</v>
      </c>
      <c r="M6" s="87">
        <v>3.75</v>
      </c>
      <c r="N6" s="87">
        <f>L6+M6</f>
        <v>16.29</v>
      </c>
      <c r="O6" s="13">
        <f>W6-U6-T6-S6-R6-Q6-P6-V6</f>
        <v>31093.00464114832</v>
      </c>
      <c r="P6" s="13">
        <v>1523.79</v>
      </c>
      <c r="Q6" s="13">
        <f>F6*C6*6</f>
        <v>0</v>
      </c>
      <c r="R6" s="13">
        <f>W6/12.54*3.26</f>
        <v>16562.42220095694</v>
      </c>
      <c r="S6" s="13">
        <f>W6/12.54*1.08</f>
        <v>5486.937416267943</v>
      </c>
      <c r="T6" s="13">
        <f>W6/12.54*0.78</f>
        <v>3962.7881339712926</v>
      </c>
      <c r="U6" s="13">
        <f>W6/12.54*0.61</f>
        <v>3099.103540669857</v>
      </c>
      <c r="V6" s="13">
        <f>W6/12.54*0.39</f>
        <v>1981.3940669856463</v>
      </c>
      <c r="W6" s="15">
        <v>63709.44</v>
      </c>
      <c r="X6" s="15">
        <v>19052.1</v>
      </c>
      <c r="Y6" s="15">
        <f>W6+X6</f>
        <v>82761.54000000001</v>
      </c>
      <c r="Z6" s="15">
        <f>AH6-AF6-AE6-AD6-AC6-AB6-AA6-AG6</f>
        <v>29366.859138755983</v>
      </c>
      <c r="AA6" s="13">
        <v>1523.79</v>
      </c>
      <c r="AB6" s="15"/>
      <c r="AC6" s="13">
        <f>AH6/12.54*3.26</f>
        <v>15685.905948963318</v>
      </c>
      <c r="AD6" s="13">
        <f>AH6/12.54*1.08</f>
        <v>5196.557799043063</v>
      </c>
      <c r="AE6" s="13">
        <f>AH6/12.54*0.78</f>
        <v>3753.069521531101</v>
      </c>
      <c r="AF6" s="13">
        <f>AH6/12.54*0.61</f>
        <v>2935.092830940989</v>
      </c>
      <c r="AG6" s="13">
        <f>AH6/12.54*0.39</f>
        <v>1876.5347607655506</v>
      </c>
      <c r="AH6" s="16">
        <v>60337.81</v>
      </c>
      <c r="AI6" s="4">
        <v>17828.47</v>
      </c>
      <c r="AJ6" s="15">
        <f>AH6+AI6</f>
        <v>78166.28</v>
      </c>
      <c r="AK6" s="21"/>
      <c r="AL6" s="13">
        <v>1523.79</v>
      </c>
      <c r="AM6" s="21">
        <f aca="true" t="shared" si="0" ref="AM6:AM30">Q6/1.05</f>
        <v>0</v>
      </c>
      <c r="AN6" s="21">
        <f aca="true" t="shared" si="1" ref="AN6:AN30">R6/1.05</f>
        <v>15773.735429482798</v>
      </c>
      <c r="AO6" s="21">
        <f aca="true" t="shared" si="2" ref="AO6:AO30">S6/1.05</f>
        <v>5225.654682159946</v>
      </c>
      <c r="AP6" s="21">
        <f aca="true" t="shared" si="3" ref="AP6:AP30">T6/1.05</f>
        <v>3774.0839371155166</v>
      </c>
      <c r="AQ6" s="21">
        <f aca="true" t="shared" si="4" ref="AQ6:AQ30">U6/1.05</f>
        <v>2951.5271815903398</v>
      </c>
      <c r="AR6" s="21">
        <f aca="true" t="shared" si="5" ref="AR6:AR30">V6/1.05</f>
        <v>1887.0419685577583</v>
      </c>
      <c r="AS6" s="22">
        <f aca="true" t="shared" si="6" ref="AS6:AS30">SUM(AK6:AQ6)+AR6</f>
        <v>31135.83319890636</v>
      </c>
      <c r="AT6" s="21">
        <f aca="true" t="shared" si="7" ref="AT6:AT31">X6/1.05</f>
        <v>18144.85714285714</v>
      </c>
      <c r="AU6" s="21">
        <f>AS6+AT6</f>
        <v>49280.690341763504</v>
      </c>
      <c r="AV6" s="79" t="s">
        <v>10</v>
      </c>
    </row>
    <row r="7" spans="1:48" ht="24" customHeight="1" thickBot="1">
      <c r="A7" s="26">
        <v>2</v>
      </c>
      <c r="B7" s="9" t="s">
        <v>11</v>
      </c>
      <c r="C7" s="11">
        <v>971.52</v>
      </c>
      <c r="D7" s="86">
        <f aca="true" t="shared" si="8" ref="D7:D35">L7-E7-F7-G7-H7-I7-J7-K7</f>
        <v>5.45727149209486</v>
      </c>
      <c r="E7" s="87">
        <f aca="true" t="shared" si="9" ref="E7:E35">P7/C7/6</f>
        <v>0.9627285079051383</v>
      </c>
      <c r="F7" s="87"/>
      <c r="G7" s="87">
        <v>3.26</v>
      </c>
      <c r="H7" s="87">
        <v>1.08</v>
      </c>
      <c r="I7" s="87">
        <v>0.78</v>
      </c>
      <c r="J7" s="87">
        <v>0.61</v>
      </c>
      <c r="K7" s="87">
        <v>0.39</v>
      </c>
      <c r="L7" s="109">
        <v>12.54</v>
      </c>
      <c r="M7" s="87">
        <v>3.75</v>
      </c>
      <c r="N7" s="87">
        <f aca="true" t="shared" si="10" ref="N7:N35">L7+M7</f>
        <v>16.29</v>
      </c>
      <c r="O7" s="13">
        <f aca="true" t="shared" si="11" ref="O7:O35">W7-U7-T7-S7-R7-Q7-P7-V7</f>
        <v>34452.01177033493</v>
      </c>
      <c r="P7" s="13">
        <v>5611.86</v>
      </c>
      <c r="Q7" s="13">
        <f>F7*C7*6</f>
        <v>0</v>
      </c>
      <c r="R7" s="13">
        <f>W7/12.54*3.26</f>
        <v>20343.959808612442</v>
      </c>
      <c r="S7" s="13">
        <f>W7/12.54*1.08</f>
        <v>6739.716746411485</v>
      </c>
      <c r="T7" s="13">
        <f>W7/12.54*0.78</f>
        <v>4867.573205741628</v>
      </c>
      <c r="U7" s="13">
        <f>W7/12.54*0.61</f>
        <v>3806.6918660287083</v>
      </c>
      <c r="V7" s="13">
        <f>W7/12.54*0.39</f>
        <v>2433.786602870814</v>
      </c>
      <c r="W7" s="15">
        <v>78255.6</v>
      </c>
      <c r="X7" s="15">
        <v>23402.16</v>
      </c>
      <c r="Y7" s="15">
        <f aca="true" t="shared" si="12" ref="Y7:Y35">W7+X7</f>
        <v>101657.76000000001</v>
      </c>
      <c r="Z7" s="15">
        <f aca="true" t="shared" si="13" ref="Z7:Z35">AH7-AF7-AE7-AD7-AC7-AB7-AA7-AG7</f>
        <v>23517.026459330136</v>
      </c>
      <c r="AA7" s="13">
        <v>5611.86</v>
      </c>
      <c r="AB7" s="15"/>
      <c r="AC7" s="13">
        <f>AH7/12.54*3.26</f>
        <v>14791.303716108454</v>
      </c>
      <c r="AD7" s="13">
        <f>AH7/12.54*1.08</f>
        <v>4900.186507177034</v>
      </c>
      <c r="AE7" s="13">
        <f>AH7/12.54*0.78</f>
        <v>3539.0235885167467</v>
      </c>
      <c r="AF7" s="13">
        <f>AH7/12.54*0.61</f>
        <v>2767.6979346092508</v>
      </c>
      <c r="AG7" s="13">
        <f>AH7/12.54*0.39</f>
        <v>1769.5117942583734</v>
      </c>
      <c r="AH7" s="16">
        <v>56896.61</v>
      </c>
      <c r="AI7" s="4">
        <v>14960</v>
      </c>
      <c r="AJ7" s="15">
        <f aca="true" t="shared" si="14" ref="AJ7:AJ35">AH7+AI7</f>
        <v>71856.61</v>
      </c>
      <c r="AK7" s="21">
        <v>11430.3</v>
      </c>
      <c r="AL7" s="13">
        <v>5611.86</v>
      </c>
      <c r="AM7" s="21">
        <f t="shared" si="0"/>
        <v>0</v>
      </c>
      <c r="AN7" s="21">
        <f t="shared" si="1"/>
        <v>19375.199817726134</v>
      </c>
      <c r="AO7" s="21">
        <f t="shared" si="2"/>
        <v>6418.777853725223</v>
      </c>
      <c r="AP7" s="21">
        <f t="shared" si="3"/>
        <v>4635.784005468217</v>
      </c>
      <c r="AQ7" s="21">
        <f t="shared" si="4"/>
        <v>3625.4208247892457</v>
      </c>
      <c r="AR7" s="21">
        <f t="shared" si="5"/>
        <v>2317.8920027341087</v>
      </c>
      <c r="AS7" s="22">
        <f t="shared" si="6"/>
        <v>53415.234504442924</v>
      </c>
      <c r="AT7" s="21">
        <f t="shared" si="7"/>
        <v>22287.77142857143</v>
      </c>
      <c r="AU7" s="21">
        <f aca="true" t="shared" si="15" ref="AU7:AU35">AS7+AT7</f>
        <v>75703.00593301436</v>
      </c>
      <c r="AV7" s="79" t="s">
        <v>11</v>
      </c>
    </row>
    <row r="8" spans="1:48" s="137" customFormat="1" ht="24" customHeight="1" thickBot="1">
      <c r="A8" s="148">
        <v>3</v>
      </c>
      <c r="B8" s="149" t="s">
        <v>12</v>
      </c>
      <c r="C8" s="150">
        <v>739.2</v>
      </c>
      <c r="D8" s="86">
        <f t="shared" si="8"/>
        <v>1.0099999999999998</v>
      </c>
      <c r="E8" s="87">
        <f t="shared" si="9"/>
        <v>0.3</v>
      </c>
      <c r="F8" s="151">
        <v>7.55</v>
      </c>
      <c r="G8" s="152">
        <v>3.26</v>
      </c>
      <c r="H8" s="152">
        <v>1.08</v>
      </c>
      <c r="I8" s="152">
        <v>0.78</v>
      </c>
      <c r="J8" s="152">
        <v>0.61</v>
      </c>
      <c r="K8" s="152">
        <v>0.39</v>
      </c>
      <c r="L8" s="153">
        <v>14.98</v>
      </c>
      <c r="M8" s="152">
        <v>3.75</v>
      </c>
      <c r="N8" s="152">
        <f t="shared" si="10"/>
        <v>18.73</v>
      </c>
      <c r="O8" s="13">
        <f t="shared" si="11"/>
        <v>4479.548851802403</v>
      </c>
      <c r="P8" s="154">
        <v>1330.56</v>
      </c>
      <c r="Q8" s="154">
        <f>W8/14.98*7.55</f>
        <v>33485.74185580774</v>
      </c>
      <c r="R8" s="154">
        <f>W8/14.98*3.26</f>
        <v>14458.744165554068</v>
      </c>
      <c r="S8" s="154">
        <f>W8/14.98*1.08</f>
        <v>4790.013404539385</v>
      </c>
      <c r="T8" s="154">
        <f>W8/14.98*0.78</f>
        <v>3459.454125500667</v>
      </c>
      <c r="U8" s="154">
        <f>W8/14.98*0.61</f>
        <v>2705.4705340453934</v>
      </c>
      <c r="V8" s="154">
        <f>W8/14.98*0.39</f>
        <v>1729.7270627503335</v>
      </c>
      <c r="W8" s="154">
        <v>66439.26</v>
      </c>
      <c r="X8" s="154">
        <v>16632.24</v>
      </c>
      <c r="Y8" s="113">
        <f t="shared" si="12"/>
        <v>83071.5</v>
      </c>
      <c r="Z8" s="15">
        <f t="shared" si="13"/>
        <v>4210.527496662208</v>
      </c>
      <c r="AA8" s="154">
        <v>1330.56</v>
      </c>
      <c r="AB8" s="154">
        <f>AH8/14.98*7.55</f>
        <v>31935.2752670227</v>
      </c>
      <c r="AC8" s="154">
        <f>AH8/14.98*3.26</f>
        <v>13789.271174899866</v>
      </c>
      <c r="AD8" s="154">
        <f>AH8/14.98*1.08</f>
        <v>4568.224806408545</v>
      </c>
      <c r="AE8" s="154">
        <f>AH8/14.98*0.78</f>
        <v>3299.2734712950605</v>
      </c>
      <c r="AF8" s="154">
        <f>AH8/14.98*0.61</f>
        <v>2580.2010480640856</v>
      </c>
      <c r="AG8" s="154">
        <f>AH8/14.98*0.39</f>
        <v>1649.6367356475303</v>
      </c>
      <c r="AH8" s="155">
        <v>63362.97</v>
      </c>
      <c r="AI8" s="156">
        <v>15862.29</v>
      </c>
      <c r="AJ8" s="113">
        <f t="shared" si="14"/>
        <v>79225.26000000001</v>
      </c>
      <c r="AK8" s="157"/>
      <c r="AL8" s="154">
        <v>1330.56</v>
      </c>
      <c r="AM8" s="157">
        <f t="shared" si="0"/>
        <v>31891.182719816894</v>
      </c>
      <c r="AN8" s="157">
        <f t="shared" si="1"/>
        <v>13770.23253862292</v>
      </c>
      <c r="AO8" s="157">
        <f t="shared" si="2"/>
        <v>4561.917528132748</v>
      </c>
      <c r="AP8" s="157">
        <f t="shared" si="3"/>
        <v>3294.71821476254</v>
      </c>
      <c r="AQ8" s="157">
        <f t="shared" si="4"/>
        <v>2576.6386038527553</v>
      </c>
      <c r="AR8" s="157">
        <f t="shared" si="5"/>
        <v>1647.35910738127</v>
      </c>
      <c r="AS8" s="158">
        <f t="shared" si="6"/>
        <v>59072.608712569134</v>
      </c>
      <c r="AT8" s="157">
        <f t="shared" si="7"/>
        <v>15840.228571428572</v>
      </c>
      <c r="AU8" s="157">
        <f t="shared" si="15"/>
        <v>74912.83728399771</v>
      </c>
      <c r="AV8" s="159" t="s">
        <v>12</v>
      </c>
    </row>
    <row r="9" spans="1:48" s="137" customFormat="1" ht="24" customHeight="1" thickBot="1">
      <c r="A9" s="148">
        <v>4</v>
      </c>
      <c r="B9" s="149" t="s">
        <v>63</v>
      </c>
      <c r="C9" s="160">
        <v>372</v>
      </c>
      <c r="D9" s="86">
        <f t="shared" si="8"/>
        <v>1.0099999999999998</v>
      </c>
      <c r="E9" s="87">
        <f t="shared" si="9"/>
        <v>0.3</v>
      </c>
      <c r="F9" s="219">
        <v>7.55</v>
      </c>
      <c r="G9" s="152">
        <v>3.26</v>
      </c>
      <c r="H9" s="152">
        <v>1.08</v>
      </c>
      <c r="I9" s="152">
        <v>0.78</v>
      </c>
      <c r="J9" s="152">
        <v>0.61</v>
      </c>
      <c r="K9" s="152">
        <v>0.39</v>
      </c>
      <c r="L9" s="153">
        <v>14.98</v>
      </c>
      <c r="M9" s="152">
        <v>3.75</v>
      </c>
      <c r="N9" s="152">
        <f t="shared" si="10"/>
        <v>18.73</v>
      </c>
      <c r="O9" s="13">
        <f t="shared" si="11"/>
        <v>2254.3147530040033</v>
      </c>
      <c r="P9" s="154">
        <v>669.6</v>
      </c>
      <c r="Q9" s="154">
        <f>W9/14.98*7.55</f>
        <v>16851.569759679576</v>
      </c>
      <c r="R9" s="154">
        <f>W9/14.98*3.26</f>
        <v>7276.30694259012</v>
      </c>
      <c r="S9" s="154">
        <f>W9/14.98*1.08</f>
        <v>2410.55567423231</v>
      </c>
      <c r="T9" s="154">
        <f>W9/14.98*0.78</f>
        <v>1740.9568758344462</v>
      </c>
      <c r="U9" s="154">
        <f>W9/14.98*0.61</f>
        <v>1361.5175567423232</v>
      </c>
      <c r="V9" s="154">
        <f>W9/14.98*0.39</f>
        <v>870.4784379172231</v>
      </c>
      <c r="W9" s="154">
        <v>33435.3</v>
      </c>
      <c r="X9" s="154">
        <v>8370.12</v>
      </c>
      <c r="Y9" s="113">
        <f t="shared" si="12"/>
        <v>41805.420000000006</v>
      </c>
      <c r="Z9" s="15">
        <f t="shared" si="13"/>
        <v>2218.5118758344456</v>
      </c>
      <c r="AA9" s="154">
        <v>669.6</v>
      </c>
      <c r="AB9" s="154">
        <f>AH9/14.98*7.55</f>
        <v>16645.224933244324</v>
      </c>
      <c r="AC9" s="154">
        <f>AH9/14.98*3.26</f>
        <v>7187.209706275032</v>
      </c>
      <c r="AD9" s="154">
        <f>AH9/14.98*1.08</f>
        <v>2381.0387983978635</v>
      </c>
      <c r="AE9" s="154">
        <f>AH9/14.98*0.78</f>
        <v>1719.6391321762349</v>
      </c>
      <c r="AF9" s="154">
        <f>AH9/14.98*0.61</f>
        <v>1344.8459879839784</v>
      </c>
      <c r="AG9" s="154">
        <f>AH9/14.98*0.39</f>
        <v>859.8195660881174</v>
      </c>
      <c r="AH9" s="155">
        <v>33025.89</v>
      </c>
      <c r="AI9" s="156">
        <v>8267.45</v>
      </c>
      <c r="AJ9" s="113">
        <f t="shared" si="14"/>
        <v>41293.34</v>
      </c>
      <c r="AK9" s="157"/>
      <c r="AL9" s="154">
        <v>669.6</v>
      </c>
      <c r="AM9" s="157">
        <f t="shared" si="0"/>
        <v>16049.11405683769</v>
      </c>
      <c r="AN9" s="157">
        <f t="shared" si="1"/>
        <v>6929.816135800114</v>
      </c>
      <c r="AO9" s="157">
        <f t="shared" si="2"/>
        <v>2295.7673087926764</v>
      </c>
      <c r="AP9" s="157">
        <f t="shared" si="3"/>
        <v>1658.0541674613773</v>
      </c>
      <c r="AQ9" s="157">
        <f t="shared" si="4"/>
        <v>1296.6833873736412</v>
      </c>
      <c r="AR9" s="157">
        <f t="shared" si="5"/>
        <v>829.0270837306887</v>
      </c>
      <c r="AS9" s="158">
        <f t="shared" si="6"/>
        <v>29728.062139996186</v>
      </c>
      <c r="AT9" s="157">
        <f t="shared" si="7"/>
        <v>7971.542857142857</v>
      </c>
      <c r="AU9" s="157">
        <f t="shared" si="15"/>
        <v>37699.604997139046</v>
      </c>
      <c r="AV9" s="159" t="s">
        <v>63</v>
      </c>
    </row>
    <row r="10" spans="1:48" ht="24" customHeight="1">
      <c r="A10" s="26">
        <v>5</v>
      </c>
      <c r="B10" s="9" t="s">
        <v>13</v>
      </c>
      <c r="C10" s="11">
        <v>565.25</v>
      </c>
      <c r="D10" s="86">
        <f t="shared" si="8"/>
        <v>5.332711189739052</v>
      </c>
      <c r="E10" s="87">
        <f t="shared" si="9"/>
        <v>1.0872888102609466</v>
      </c>
      <c r="F10" s="87"/>
      <c r="G10" s="87">
        <v>3.26</v>
      </c>
      <c r="H10" s="87">
        <v>1.08</v>
      </c>
      <c r="I10" s="87">
        <v>0.78</v>
      </c>
      <c r="J10" s="87">
        <v>0.61</v>
      </c>
      <c r="K10" s="87">
        <v>0.39</v>
      </c>
      <c r="L10" s="109">
        <v>12.54</v>
      </c>
      <c r="M10" s="87">
        <v>3.75</v>
      </c>
      <c r="N10" s="87">
        <f t="shared" si="10"/>
        <v>16.29</v>
      </c>
      <c r="O10" s="13">
        <f t="shared" si="11"/>
        <v>17989.605358851666</v>
      </c>
      <c r="P10" s="13">
        <v>3687.54</v>
      </c>
      <c r="Q10" s="13">
        <f aca="true" t="shared" si="16" ref="Q10:Q31">F10*C10*6</f>
        <v>0</v>
      </c>
      <c r="R10" s="13">
        <f aca="true" t="shared" si="17" ref="R10:R35">W10/12.54*3.26</f>
        <v>11007.397799043061</v>
      </c>
      <c r="S10" s="13">
        <f aca="true" t="shared" si="18" ref="S10:S35">W10/12.54*1.08</f>
        <v>3646.6225837320576</v>
      </c>
      <c r="T10" s="13">
        <f aca="true" t="shared" si="19" ref="T10:T35">W10/12.54*0.78</f>
        <v>2633.671866028708</v>
      </c>
      <c r="U10" s="13">
        <f aca="true" t="shared" si="20" ref="U10:U35">W10/12.54*0.61</f>
        <v>2059.6664593301434</v>
      </c>
      <c r="V10" s="13">
        <f aca="true" t="shared" si="21" ref="V10:V35">W10/12.54*0.39</f>
        <v>1316.835933014354</v>
      </c>
      <c r="W10" s="13">
        <v>42341.34</v>
      </c>
      <c r="X10" s="13">
        <v>12662.04</v>
      </c>
      <c r="Y10" s="15">
        <f t="shared" si="12"/>
        <v>55003.38</v>
      </c>
      <c r="Z10" s="15">
        <f t="shared" si="13"/>
        <v>16227.796602870818</v>
      </c>
      <c r="AA10" s="13">
        <v>3687.54</v>
      </c>
      <c r="AB10" s="15"/>
      <c r="AC10" s="13">
        <f aca="true" t="shared" si="22" ref="AC10:AC31">AH10/12.54*3.26</f>
        <v>10112.772169059012</v>
      </c>
      <c r="AD10" s="13">
        <f aca="true" t="shared" si="23" ref="AD10:AD31">AH10/12.54*1.08</f>
        <v>3350.2435406698573</v>
      </c>
      <c r="AE10" s="13">
        <f aca="true" t="shared" si="24" ref="AE10:AE31">AH10/12.54*0.78</f>
        <v>2419.62033492823</v>
      </c>
      <c r="AF10" s="13">
        <f aca="true" t="shared" si="25" ref="AF10:AF31">AH10/12.54*0.61</f>
        <v>1892.2671850079748</v>
      </c>
      <c r="AG10" s="13">
        <f aca="true" t="shared" si="26" ref="AG10:AG35">AH10/12.54*0.39</f>
        <v>1209.810167464115</v>
      </c>
      <c r="AH10" s="16">
        <v>38900.05</v>
      </c>
      <c r="AI10" s="4">
        <v>11476.74</v>
      </c>
      <c r="AJ10" s="15">
        <f t="shared" si="14"/>
        <v>50376.79</v>
      </c>
      <c r="AK10" s="21">
        <v>26130</v>
      </c>
      <c r="AL10" s="13">
        <v>3687.54</v>
      </c>
      <c r="AM10" s="21">
        <f t="shared" si="0"/>
        <v>0</v>
      </c>
      <c r="AN10" s="21">
        <f t="shared" si="1"/>
        <v>10483.235999088629</v>
      </c>
      <c r="AO10" s="21">
        <f t="shared" si="2"/>
        <v>3472.973889268626</v>
      </c>
      <c r="AP10" s="21">
        <f t="shared" si="3"/>
        <v>2508.2589200273405</v>
      </c>
      <c r="AQ10" s="21">
        <f t="shared" si="4"/>
        <v>1961.5871041239461</v>
      </c>
      <c r="AR10" s="21">
        <f t="shared" si="5"/>
        <v>1254.1294600136703</v>
      </c>
      <c r="AS10" s="22">
        <f t="shared" si="6"/>
        <v>49497.72537252221</v>
      </c>
      <c r="AT10" s="21">
        <f t="shared" si="7"/>
        <v>12059.085714285715</v>
      </c>
      <c r="AU10" s="21">
        <f t="shared" si="15"/>
        <v>61556.811086807924</v>
      </c>
      <c r="AV10" s="79" t="s">
        <v>13</v>
      </c>
    </row>
    <row r="11" spans="1:48" ht="24" customHeight="1">
      <c r="A11" s="26">
        <v>6</v>
      </c>
      <c r="B11" s="9" t="s">
        <v>14</v>
      </c>
      <c r="C11" s="11">
        <v>571.67</v>
      </c>
      <c r="D11" s="86">
        <f t="shared" si="8"/>
        <v>7.214397700304955</v>
      </c>
      <c r="E11" s="87">
        <f t="shared" si="9"/>
        <v>-0.7943977003049546</v>
      </c>
      <c r="F11" s="87"/>
      <c r="G11" s="87">
        <v>3.26</v>
      </c>
      <c r="H11" s="87">
        <v>1.08</v>
      </c>
      <c r="I11" s="87">
        <v>0.78</v>
      </c>
      <c r="J11" s="87">
        <v>0.61</v>
      </c>
      <c r="K11" s="87">
        <v>0.39</v>
      </c>
      <c r="L11" s="109">
        <v>12.54</v>
      </c>
      <c r="M11" s="87">
        <v>3.75</v>
      </c>
      <c r="N11" s="87">
        <f t="shared" si="10"/>
        <v>16.29</v>
      </c>
      <c r="O11" s="13">
        <f t="shared" si="11"/>
        <v>24654.229856459333</v>
      </c>
      <c r="P11" s="13">
        <v>-2724.8</v>
      </c>
      <c r="Q11" s="13">
        <f t="shared" si="16"/>
        <v>0</v>
      </c>
      <c r="R11" s="13">
        <f t="shared" si="17"/>
        <v>11135.504880382776</v>
      </c>
      <c r="S11" s="13">
        <f t="shared" si="18"/>
        <v>3689.0629665071774</v>
      </c>
      <c r="T11" s="13">
        <f t="shared" si="19"/>
        <v>2664.323253588517</v>
      </c>
      <c r="U11" s="13">
        <f t="shared" si="20"/>
        <v>2083.6374162679426</v>
      </c>
      <c r="V11" s="13">
        <f t="shared" si="21"/>
        <v>1332.1616267942586</v>
      </c>
      <c r="W11" s="13">
        <v>42834.12</v>
      </c>
      <c r="X11" s="13">
        <v>12809.4</v>
      </c>
      <c r="Y11" s="15">
        <f t="shared" si="12"/>
        <v>55643.520000000004</v>
      </c>
      <c r="Z11" s="15">
        <f t="shared" si="13"/>
        <v>23358.68511961722</v>
      </c>
      <c r="AA11" s="13">
        <v>-2724.8</v>
      </c>
      <c r="AB11" s="15"/>
      <c r="AC11" s="13">
        <f t="shared" si="22"/>
        <v>10477.64259968102</v>
      </c>
      <c r="AD11" s="13">
        <f t="shared" si="23"/>
        <v>3471.1208612440196</v>
      </c>
      <c r="AE11" s="13">
        <f t="shared" si="24"/>
        <v>2506.9206220095693</v>
      </c>
      <c r="AF11" s="13">
        <f t="shared" si="25"/>
        <v>1960.5404864433813</v>
      </c>
      <c r="AG11" s="13">
        <f t="shared" si="26"/>
        <v>1253.4603110047847</v>
      </c>
      <c r="AH11" s="16">
        <v>40303.57</v>
      </c>
      <c r="AI11" s="4">
        <v>12053.99</v>
      </c>
      <c r="AJ11" s="15">
        <f t="shared" si="14"/>
        <v>52357.56</v>
      </c>
      <c r="AK11" s="21">
        <v>30006.4</v>
      </c>
      <c r="AL11" s="13">
        <v>-2724.8</v>
      </c>
      <c r="AM11" s="21">
        <f t="shared" si="0"/>
        <v>0</v>
      </c>
      <c r="AN11" s="21">
        <f t="shared" si="1"/>
        <v>10605.24274322169</v>
      </c>
      <c r="AO11" s="21">
        <f t="shared" si="2"/>
        <v>3513.393301435407</v>
      </c>
      <c r="AP11" s="21">
        <f t="shared" si="3"/>
        <v>2537.4507177033497</v>
      </c>
      <c r="AQ11" s="21">
        <f t="shared" si="4"/>
        <v>1984.41658692185</v>
      </c>
      <c r="AR11" s="21">
        <f t="shared" si="5"/>
        <v>1268.7253588516749</v>
      </c>
      <c r="AS11" s="22">
        <f t="shared" si="6"/>
        <v>47190.82870813397</v>
      </c>
      <c r="AT11" s="21">
        <f t="shared" si="7"/>
        <v>12199.42857142857</v>
      </c>
      <c r="AU11" s="21">
        <f t="shared" si="15"/>
        <v>59390.257279562546</v>
      </c>
      <c r="AV11" s="79" t="s">
        <v>14</v>
      </c>
    </row>
    <row r="12" spans="1:48" s="135" customFormat="1" ht="24" customHeight="1">
      <c r="A12" s="126">
        <v>7</v>
      </c>
      <c r="B12" s="127" t="s">
        <v>15</v>
      </c>
      <c r="C12" s="128">
        <v>571.96</v>
      </c>
      <c r="D12" s="86">
        <f t="shared" si="8"/>
        <v>6.3540309345641885</v>
      </c>
      <c r="E12" s="87">
        <f t="shared" si="9"/>
        <v>0.06596906543581135</v>
      </c>
      <c r="F12" s="187"/>
      <c r="G12" s="187">
        <v>3.26</v>
      </c>
      <c r="H12" s="187">
        <v>1.08</v>
      </c>
      <c r="I12" s="187">
        <v>0.78</v>
      </c>
      <c r="J12" s="187">
        <v>0.61</v>
      </c>
      <c r="K12" s="187">
        <v>0.39</v>
      </c>
      <c r="L12" s="188">
        <v>12.54</v>
      </c>
      <c r="M12" s="187">
        <v>3.75</v>
      </c>
      <c r="N12" s="187">
        <f t="shared" si="10"/>
        <v>16.29</v>
      </c>
      <c r="O12" s="13">
        <f t="shared" si="11"/>
        <v>20787.744449760765</v>
      </c>
      <c r="P12" s="129">
        <v>226.39</v>
      </c>
      <c r="Q12" s="129">
        <f t="shared" si="16"/>
        <v>0</v>
      </c>
      <c r="R12" s="13">
        <f t="shared" si="17"/>
        <v>10670.728708133973</v>
      </c>
      <c r="S12" s="13">
        <f t="shared" si="18"/>
        <v>3535.0880382775126</v>
      </c>
      <c r="T12" s="13">
        <f t="shared" si="19"/>
        <v>2553.119138755981</v>
      </c>
      <c r="U12" s="13">
        <f t="shared" si="20"/>
        <v>1996.6700956937802</v>
      </c>
      <c r="V12" s="13">
        <f t="shared" si="21"/>
        <v>1276.5595693779906</v>
      </c>
      <c r="W12" s="129">
        <v>41046.3</v>
      </c>
      <c r="X12" s="129">
        <v>12869.98</v>
      </c>
      <c r="Y12" s="15">
        <f t="shared" si="12"/>
        <v>53916.28</v>
      </c>
      <c r="Z12" s="15">
        <f t="shared" si="13"/>
        <v>20078.518755980862</v>
      </c>
      <c r="AA12" s="129">
        <v>226.39</v>
      </c>
      <c r="AB12" s="131"/>
      <c r="AC12" s="13">
        <f t="shared" si="22"/>
        <v>10310.592296650717</v>
      </c>
      <c r="AD12" s="13">
        <f t="shared" si="23"/>
        <v>3415.779043062201</v>
      </c>
      <c r="AE12" s="13">
        <f t="shared" si="24"/>
        <v>2466.9515311004784</v>
      </c>
      <c r="AF12" s="13">
        <f t="shared" si="25"/>
        <v>1929.2826076555023</v>
      </c>
      <c r="AG12" s="13">
        <f t="shared" si="26"/>
        <v>1233.4757655502392</v>
      </c>
      <c r="AH12" s="132">
        <v>39660.99</v>
      </c>
      <c r="AI12" s="130">
        <v>12651.95</v>
      </c>
      <c r="AJ12" s="15">
        <f t="shared" si="14"/>
        <v>52312.94</v>
      </c>
      <c r="AK12" s="133">
        <v>26136</v>
      </c>
      <c r="AL12" s="129">
        <v>226.39</v>
      </c>
      <c r="AM12" s="133">
        <f t="shared" si="0"/>
        <v>0</v>
      </c>
      <c r="AN12" s="133">
        <f t="shared" si="1"/>
        <v>10162.598769651402</v>
      </c>
      <c r="AO12" s="133">
        <f t="shared" si="2"/>
        <v>3366.75051264525</v>
      </c>
      <c r="AP12" s="133">
        <f t="shared" si="3"/>
        <v>2431.542036910458</v>
      </c>
      <c r="AQ12" s="133">
        <f t="shared" si="4"/>
        <v>1901.5905673274096</v>
      </c>
      <c r="AR12" s="133">
        <f t="shared" si="5"/>
        <v>1215.771018455229</v>
      </c>
      <c r="AS12" s="22">
        <f t="shared" si="6"/>
        <v>45440.642904989756</v>
      </c>
      <c r="AT12" s="133">
        <f t="shared" si="7"/>
        <v>12257.123809523808</v>
      </c>
      <c r="AU12" s="21">
        <f t="shared" si="15"/>
        <v>57697.766714513564</v>
      </c>
      <c r="AV12" s="134" t="s">
        <v>15</v>
      </c>
    </row>
    <row r="13" spans="1:48" ht="24" customHeight="1">
      <c r="A13" s="26">
        <v>8</v>
      </c>
      <c r="B13" s="9" t="s">
        <v>16</v>
      </c>
      <c r="C13" s="11">
        <v>295.42</v>
      </c>
      <c r="D13" s="86">
        <f t="shared" si="8"/>
        <v>6.419999999999999</v>
      </c>
      <c r="E13" s="87">
        <f t="shared" si="9"/>
        <v>0</v>
      </c>
      <c r="F13" s="87"/>
      <c r="G13" s="87">
        <v>3.26</v>
      </c>
      <c r="H13" s="87">
        <v>1.08</v>
      </c>
      <c r="I13" s="87">
        <v>0.78</v>
      </c>
      <c r="J13" s="87">
        <v>0.61</v>
      </c>
      <c r="K13" s="87">
        <v>0.39</v>
      </c>
      <c r="L13" s="109">
        <v>12.54</v>
      </c>
      <c r="M13" s="87">
        <v>3.75</v>
      </c>
      <c r="N13" s="87">
        <f t="shared" si="10"/>
        <v>16.29</v>
      </c>
      <c r="O13" s="13">
        <f t="shared" si="11"/>
        <v>11379.58822966507</v>
      </c>
      <c r="P13" s="13">
        <v>0</v>
      </c>
      <c r="Q13" s="13">
        <f t="shared" si="16"/>
        <v>0</v>
      </c>
      <c r="R13" s="13">
        <f t="shared" si="17"/>
        <v>5778.420191387559</v>
      </c>
      <c r="S13" s="13">
        <f t="shared" si="18"/>
        <v>1914.3232535885168</v>
      </c>
      <c r="T13" s="13">
        <f t="shared" si="19"/>
        <v>1382.5667942583732</v>
      </c>
      <c r="U13" s="13">
        <f t="shared" si="20"/>
        <v>1081.2381339712917</v>
      </c>
      <c r="V13" s="13">
        <f t="shared" si="21"/>
        <v>691.2833971291866</v>
      </c>
      <c r="W13" s="13">
        <v>22227.42</v>
      </c>
      <c r="X13" s="13">
        <v>6646.98</v>
      </c>
      <c r="Y13" s="15">
        <f t="shared" si="12"/>
        <v>28874.399999999998</v>
      </c>
      <c r="Z13" s="15">
        <f t="shared" si="13"/>
        <v>8667.332775119616</v>
      </c>
      <c r="AA13" s="13">
        <v>0</v>
      </c>
      <c r="AB13" s="15"/>
      <c r="AC13" s="13">
        <f t="shared" si="22"/>
        <v>4401.168979266348</v>
      </c>
      <c r="AD13" s="13">
        <f t="shared" si="23"/>
        <v>1458.0559808612445</v>
      </c>
      <c r="AE13" s="13">
        <f t="shared" si="24"/>
        <v>1053.0404306220098</v>
      </c>
      <c r="AF13" s="13">
        <f t="shared" si="25"/>
        <v>823.5316188197769</v>
      </c>
      <c r="AG13" s="13">
        <f t="shared" si="26"/>
        <v>526.5202153110049</v>
      </c>
      <c r="AH13" s="16">
        <v>16929.65</v>
      </c>
      <c r="AI13" s="4">
        <v>5101.81</v>
      </c>
      <c r="AJ13" s="15">
        <f t="shared" si="14"/>
        <v>22031.460000000003</v>
      </c>
      <c r="AK13" s="21"/>
      <c r="AL13" s="13">
        <v>0</v>
      </c>
      <c r="AM13" s="21">
        <f t="shared" si="0"/>
        <v>0</v>
      </c>
      <c r="AN13" s="21">
        <f t="shared" si="1"/>
        <v>5503.257325131008</v>
      </c>
      <c r="AO13" s="21">
        <f t="shared" si="2"/>
        <v>1823.165003417635</v>
      </c>
      <c r="AP13" s="21">
        <f t="shared" si="3"/>
        <v>1316.7302802460697</v>
      </c>
      <c r="AQ13" s="21">
        <f t="shared" si="4"/>
        <v>1029.7506037821827</v>
      </c>
      <c r="AR13" s="21">
        <f t="shared" si="5"/>
        <v>658.3651401230348</v>
      </c>
      <c r="AS13" s="22">
        <f t="shared" si="6"/>
        <v>10331.268352699928</v>
      </c>
      <c r="AT13" s="21">
        <f t="shared" si="7"/>
        <v>6330.457142857143</v>
      </c>
      <c r="AU13" s="21">
        <f t="shared" si="15"/>
        <v>16661.72549555707</v>
      </c>
      <c r="AV13" s="79" t="s">
        <v>16</v>
      </c>
    </row>
    <row r="14" spans="1:48" ht="24" customHeight="1">
      <c r="A14" s="26">
        <v>9</v>
      </c>
      <c r="B14" s="9" t="s">
        <v>17</v>
      </c>
      <c r="C14" s="11">
        <v>724.96</v>
      </c>
      <c r="D14" s="86">
        <f t="shared" si="8"/>
        <v>5.108923067019789</v>
      </c>
      <c r="E14" s="87">
        <f t="shared" si="9"/>
        <v>1.3110769329802103</v>
      </c>
      <c r="F14" s="87"/>
      <c r="G14" s="87">
        <v>3.26</v>
      </c>
      <c r="H14" s="87">
        <v>1.08</v>
      </c>
      <c r="I14" s="87">
        <v>0.78</v>
      </c>
      <c r="J14" s="87">
        <v>0.61</v>
      </c>
      <c r="K14" s="87">
        <v>0.39</v>
      </c>
      <c r="L14" s="109">
        <v>12.54</v>
      </c>
      <c r="M14" s="87">
        <v>3.75</v>
      </c>
      <c r="N14" s="87">
        <f t="shared" si="10"/>
        <v>16.29</v>
      </c>
      <c r="O14" s="13">
        <f t="shared" si="11"/>
        <v>22221.05822966508</v>
      </c>
      <c r="P14" s="13">
        <v>5702.87</v>
      </c>
      <c r="Q14" s="13">
        <f t="shared" si="16"/>
        <v>0</v>
      </c>
      <c r="R14" s="13">
        <f t="shared" si="17"/>
        <v>14179.440191387559</v>
      </c>
      <c r="S14" s="13">
        <f t="shared" si="18"/>
        <v>4697.483253588517</v>
      </c>
      <c r="T14" s="13">
        <f t="shared" si="19"/>
        <v>3392.6267942583736</v>
      </c>
      <c r="U14" s="13">
        <f t="shared" si="20"/>
        <v>2653.2081339712918</v>
      </c>
      <c r="V14" s="13">
        <f t="shared" si="21"/>
        <v>1696.3133971291868</v>
      </c>
      <c r="W14" s="13">
        <v>54543</v>
      </c>
      <c r="X14" s="13">
        <v>16310.94</v>
      </c>
      <c r="Y14" s="15">
        <f t="shared" si="12"/>
        <v>70853.94</v>
      </c>
      <c r="Z14" s="15">
        <f t="shared" si="13"/>
        <v>17139.78181818182</v>
      </c>
      <c r="AA14" s="13">
        <v>5702.87</v>
      </c>
      <c r="AB14" s="15"/>
      <c r="AC14" s="13">
        <f t="shared" si="22"/>
        <v>11599.228181818182</v>
      </c>
      <c r="AD14" s="13">
        <f t="shared" si="23"/>
        <v>3842.6890909090916</v>
      </c>
      <c r="AE14" s="13">
        <f t="shared" si="24"/>
        <v>2775.275454545455</v>
      </c>
      <c r="AF14" s="13">
        <f t="shared" si="25"/>
        <v>2170.4077272727277</v>
      </c>
      <c r="AG14" s="13">
        <f t="shared" si="26"/>
        <v>1387.6377272727275</v>
      </c>
      <c r="AH14" s="16">
        <v>44617.89</v>
      </c>
      <c r="AI14" s="4">
        <v>12678.69</v>
      </c>
      <c r="AJ14" s="15">
        <f t="shared" si="14"/>
        <v>57296.58</v>
      </c>
      <c r="AK14" s="21">
        <v>2107</v>
      </c>
      <c r="AL14" s="13">
        <v>5702.87</v>
      </c>
      <c r="AM14" s="21">
        <f t="shared" si="0"/>
        <v>0</v>
      </c>
      <c r="AN14" s="21">
        <f t="shared" si="1"/>
        <v>13504.228753702437</v>
      </c>
      <c r="AO14" s="21">
        <f t="shared" si="2"/>
        <v>4473.793574846207</v>
      </c>
      <c r="AP14" s="21">
        <f t="shared" si="3"/>
        <v>3231.073137388927</v>
      </c>
      <c r="AQ14" s="21">
        <f t="shared" si="4"/>
        <v>2526.864889496468</v>
      </c>
      <c r="AR14" s="21">
        <f t="shared" si="5"/>
        <v>1615.5365686944635</v>
      </c>
      <c r="AS14" s="22">
        <f t="shared" si="6"/>
        <v>33161.3669241285</v>
      </c>
      <c r="AT14" s="21">
        <f t="shared" si="7"/>
        <v>15534.228571428572</v>
      </c>
      <c r="AU14" s="21">
        <f t="shared" si="15"/>
        <v>48695.59549555708</v>
      </c>
      <c r="AV14" s="79" t="s">
        <v>17</v>
      </c>
    </row>
    <row r="15" spans="1:48" ht="24" customHeight="1">
      <c r="A15" s="26">
        <v>10</v>
      </c>
      <c r="B15" s="9" t="s">
        <v>18</v>
      </c>
      <c r="C15" s="11">
        <v>722.5</v>
      </c>
      <c r="D15" s="86">
        <f t="shared" si="8"/>
        <v>4.9870449826989605</v>
      </c>
      <c r="E15" s="87">
        <f t="shared" si="9"/>
        <v>1.432955017301038</v>
      </c>
      <c r="F15" s="87"/>
      <c r="G15" s="87">
        <v>3.26</v>
      </c>
      <c r="H15" s="87">
        <v>1.08</v>
      </c>
      <c r="I15" s="87">
        <v>0.78</v>
      </c>
      <c r="J15" s="87">
        <v>0.61</v>
      </c>
      <c r="K15" s="87">
        <v>0.39</v>
      </c>
      <c r="L15" s="109">
        <v>12.54</v>
      </c>
      <c r="M15" s="87">
        <v>3.75</v>
      </c>
      <c r="N15" s="87">
        <f t="shared" si="10"/>
        <v>16.29</v>
      </c>
      <c r="O15" s="13">
        <f t="shared" si="11"/>
        <v>21603.450430622015</v>
      </c>
      <c r="P15" s="13">
        <v>6211.86</v>
      </c>
      <c r="Q15" s="13">
        <f t="shared" si="16"/>
        <v>0</v>
      </c>
      <c r="R15" s="13">
        <f t="shared" si="17"/>
        <v>14124.285358851674</v>
      </c>
      <c r="S15" s="13">
        <f t="shared" si="18"/>
        <v>4679.211100478469</v>
      </c>
      <c r="T15" s="13">
        <f t="shared" si="19"/>
        <v>3379.43023923445</v>
      </c>
      <c r="U15" s="13">
        <f t="shared" si="20"/>
        <v>2642.8877511961723</v>
      </c>
      <c r="V15" s="13">
        <f t="shared" si="21"/>
        <v>1689.715119617225</v>
      </c>
      <c r="W15" s="13">
        <v>54330.84</v>
      </c>
      <c r="X15" s="13">
        <v>16247.4</v>
      </c>
      <c r="Y15" s="15">
        <f t="shared" si="12"/>
        <v>70578.23999999999</v>
      </c>
      <c r="Z15" s="15">
        <f t="shared" si="13"/>
        <v>22427.386267942587</v>
      </c>
      <c r="AA15" s="13">
        <v>6211.86</v>
      </c>
      <c r="AB15" s="15"/>
      <c r="AC15" s="13">
        <f t="shared" si="22"/>
        <v>14542.670223285486</v>
      </c>
      <c r="AD15" s="13">
        <f t="shared" si="23"/>
        <v>4817.817129186604</v>
      </c>
      <c r="AE15" s="13">
        <f t="shared" si="24"/>
        <v>3479.534593301436</v>
      </c>
      <c r="AF15" s="13">
        <f t="shared" si="25"/>
        <v>2721.174489633174</v>
      </c>
      <c r="AG15" s="13">
        <f t="shared" si="26"/>
        <v>1739.767296650718</v>
      </c>
      <c r="AH15" s="16">
        <v>55940.21</v>
      </c>
      <c r="AI15" s="4">
        <v>14801.48</v>
      </c>
      <c r="AJ15" s="15">
        <f t="shared" si="14"/>
        <v>70741.69</v>
      </c>
      <c r="AK15" s="21">
        <v>3883</v>
      </c>
      <c r="AL15" s="13">
        <v>6211.86</v>
      </c>
      <c r="AM15" s="21">
        <f t="shared" si="0"/>
        <v>0</v>
      </c>
      <c r="AN15" s="21">
        <f t="shared" si="1"/>
        <v>13451.700341763499</v>
      </c>
      <c r="AO15" s="21">
        <f t="shared" si="2"/>
        <v>4456.391524265208</v>
      </c>
      <c r="AP15" s="21">
        <f t="shared" si="3"/>
        <v>3218.504989747095</v>
      </c>
      <c r="AQ15" s="21">
        <f t="shared" si="4"/>
        <v>2517.035953520164</v>
      </c>
      <c r="AR15" s="21">
        <f t="shared" si="5"/>
        <v>1609.2524948735474</v>
      </c>
      <c r="AS15" s="22">
        <f t="shared" si="6"/>
        <v>35347.74530416951</v>
      </c>
      <c r="AT15" s="21">
        <f t="shared" si="7"/>
        <v>15473.714285714284</v>
      </c>
      <c r="AU15" s="21">
        <f t="shared" si="15"/>
        <v>50821.459589883794</v>
      </c>
      <c r="AV15" s="79" t="s">
        <v>18</v>
      </c>
    </row>
    <row r="16" spans="1:48" ht="24" customHeight="1">
      <c r="A16" s="26">
        <v>11</v>
      </c>
      <c r="B16" s="9" t="s">
        <v>19</v>
      </c>
      <c r="C16" s="11">
        <v>726.09</v>
      </c>
      <c r="D16" s="86">
        <f t="shared" si="8"/>
        <v>5.978367420016801</v>
      </c>
      <c r="E16" s="87">
        <f t="shared" si="9"/>
        <v>0.44163257998319766</v>
      </c>
      <c r="F16" s="87"/>
      <c r="G16" s="87">
        <v>3.26</v>
      </c>
      <c r="H16" s="87">
        <v>1.08</v>
      </c>
      <c r="I16" s="87">
        <v>0.78</v>
      </c>
      <c r="J16" s="87">
        <v>0.61</v>
      </c>
      <c r="K16" s="87">
        <v>0.39</v>
      </c>
      <c r="L16" s="109">
        <v>12.54</v>
      </c>
      <c r="M16" s="87">
        <v>3.75</v>
      </c>
      <c r="N16" s="87">
        <f t="shared" si="10"/>
        <v>16.29</v>
      </c>
      <c r="O16" s="13">
        <f t="shared" si="11"/>
        <v>26044.970382775115</v>
      </c>
      <c r="P16" s="13">
        <v>1923.99</v>
      </c>
      <c r="Q16" s="13">
        <f t="shared" si="16"/>
        <v>0</v>
      </c>
      <c r="R16" s="13">
        <f t="shared" si="17"/>
        <v>14202.306985645933</v>
      </c>
      <c r="S16" s="13">
        <f t="shared" si="18"/>
        <v>4705.058755980862</v>
      </c>
      <c r="T16" s="13">
        <f t="shared" si="19"/>
        <v>3398.0979904306223</v>
      </c>
      <c r="U16" s="13">
        <f t="shared" si="20"/>
        <v>2657.4868899521534</v>
      </c>
      <c r="V16" s="13">
        <f t="shared" si="21"/>
        <v>1699.0489952153112</v>
      </c>
      <c r="W16" s="13">
        <v>54630.96</v>
      </c>
      <c r="X16" s="13">
        <v>16337.16</v>
      </c>
      <c r="Y16" s="15">
        <f t="shared" si="12"/>
        <v>70968.12</v>
      </c>
      <c r="Z16" s="15">
        <f t="shared" si="13"/>
        <v>24085.145071770326</v>
      </c>
      <c r="AA16" s="13">
        <v>1923.99</v>
      </c>
      <c r="AB16" s="15"/>
      <c r="AC16" s="13">
        <f t="shared" si="22"/>
        <v>13207.130893141946</v>
      </c>
      <c r="AD16" s="13">
        <f t="shared" si="23"/>
        <v>4375.368516746412</v>
      </c>
      <c r="AE16" s="13">
        <f t="shared" si="24"/>
        <v>3159.988373205742</v>
      </c>
      <c r="AF16" s="13">
        <f t="shared" si="25"/>
        <v>2471.2729585326956</v>
      </c>
      <c r="AG16" s="13">
        <f t="shared" si="26"/>
        <v>1579.994186602871</v>
      </c>
      <c r="AH16" s="16">
        <v>50802.89</v>
      </c>
      <c r="AI16" s="4">
        <v>15188.66</v>
      </c>
      <c r="AJ16" s="15">
        <f t="shared" si="14"/>
        <v>65991.55</v>
      </c>
      <c r="AK16" s="21">
        <v>32029</v>
      </c>
      <c r="AL16" s="13">
        <v>1923.99</v>
      </c>
      <c r="AM16" s="21">
        <f t="shared" si="0"/>
        <v>0</v>
      </c>
      <c r="AN16" s="21">
        <f t="shared" si="1"/>
        <v>13526.006652996126</v>
      </c>
      <c r="AO16" s="21">
        <f t="shared" si="2"/>
        <v>4481.008339029392</v>
      </c>
      <c r="AP16" s="21">
        <f t="shared" si="3"/>
        <v>3236.2838004101163</v>
      </c>
      <c r="AQ16" s="21">
        <f t="shared" si="4"/>
        <v>2530.939895192527</v>
      </c>
      <c r="AR16" s="21">
        <f t="shared" si="5"/>
        <v>1618.1419002050582</v>
      </c>
      <c r="AS16" s="22">
        <f t="shared" si="6"/>
        <v>59345.37058783322</v>
      </c>
      <c r="AT16" s="21">
        <f t="shared" si="7"/>
        <v>15559.199999999999</v>
      </c>
      <c r="AU16" s="21">
        <f t="shared" si="15"/>
        <v>74904.57058783322</v>
      </c>
      <c r="AV16" s="79" t="s">
        <v>19</v>
      </c>
    </row>
    <row r="17" spans="1:48" ht="24" customHeight="1">
      <c r="A17" s="26">
        <v>12</v>
      </c>
      <c r="B17" s="9" t="s">
        <v>20</v>
      </c>
      <c r="C17" s="11">
        <v>754.14</v>
      </c>
      <c r="D17" s="86">
        <f t="shared" si="8"/>
        <v>6.120000442004579</v>
      </c>
      <c r="E17" s="87">
        <f t="shared" si="9"/>
        <v>0.29999955799542083</v>
      </c>
      <c r="F17" s="87"/>
      <c r="G17" s="87">
        <v>3.26</v>
      </c>
      <c r="H17" s="87">
        <v>1.08</v>
      </c>
      <c r="I17" s="87">
        <v>0.78</v>
      </c>
      <c r="J17" s="87">
        <v>0.61</v>
      </c>
      <c r="K17" s="87">
        <v>0.39</v>
      </c>
      <c r="L17" s="109">
        <v>12.54</v>
      </c>
      <c r="M17" s="87">
        <v>3.75</v>
      </c>
      <c r="N17" s="87">
        <f t="shared" si="10"/>
        <v>16.29</v>
      </c>
      <c r="O17" s="13">
        <f t="shared" si="11"/>
        <v>27838.344736842104</v>
      </c>
      <c r="P17" s="13">
        <v>1357.45</v>
      </c>
      <c r="Q17" s="13">
        <f t="shared" si="16"/>
        <v>0</v>
      </c>
      <c r="R17" s="13">
        <f t="shared" si="17"/>
        <v>14825.278947368422</v>
      </c>
      <c r="S17" s="13">
        <f t="shared" si="18"/>
        <v>4911.442105263159</v>
      </c>
      <c r="T17" s="13">
        <f t="shared" si="19"/>
        <v>3547.1526315789483</v>
      </c>
      <c r="U17" s="13">
        <f t="shared" si="20"/>
        <v>2774.0552631578953</v>
      </c>
      <c r="V17" s="13">
        <f t="shared" si="21"/>
        <v>1773.5763157894742</v>
      </c>
      <c r="W17" s="13">
        <v>57027.3</v>
      </c>
      <c r="X17" s="13">
        <v>17053.8</v>
      </c>
      <c r="Y17" s="15">
        <f t="shared" si="12"/>
        <v>74081.1</v>
      </c>
      <c r="Z17" s="15">
        <f t="shared" si="13"/>
        <v>24848.49339712919</v>
      </c>
      <c r="AA17" s="13">
        <v>1357.45</v>
      </c>
      <c r="AB17" s="15"/>
      <c r="AC17" s="13">
        <f t="shared" si="22"/>
        <v>13307.067830940987</v>
      </c>
      <c r="AD17" s="13">
        <f t="shared" si="23"/>
        <v>4408.476459330143</v>
      </c>
      <c r="AE17" s="13">
        <f t="shared" si="24"/>
        <v>3183.8996650717704</v>
      </c>
      <c r="AF17" s="13">
        <f t="shared" si="25"/>
        <v>2489.9728149920256</v>
      </c>
      <c r="AG17" s="13">
        <f t="shared" si="26"/>
        <v>1591.9498325358852</v>
      </c>
      <c r="AH17" s="16">
        <v>51187.31</v>
      </c>
      <c r="AI17" s="4">
        <v>15056.37</v>
      </c>
      <c r="AJ17" s="15">
        <f t="shared" si="14"/>
        <v>66243.68</v>
      </c>
      <c r="AK17" s="21">
        <v>12032.3</v>
      </c>
      <c r="AL17" s="13">
        <v>1357.45</v>
      </c>
      <c r="AM17" s="21">
        <f t="shared" si="0"/>
        <v>0</v>
      </c>
      <c r="AN17" s="21">
        <f t="shared" si="1"/>
        <v>14119.313283208021</v>
      </c>
      <c r="AO17" s="21">
        <f t="shared" si="2"/>
        <v>4677.563909774437</v>
      </c>
      <c r="AP17" s="21">
        <f t="shared" si="3"/>
        <v>3378.24060150376</v>
      </c>
      <c r="AQ17" s="21">
        <f t="shared" si="4"/>
        <v>2641.95739348371</v>
      </c>
      <c r="AR17" s="21">
        <f t="shared" si="5"/>
        <v>1689.12030075188</v>
      </c>
      <c r="AS17" s="22">
        <f t="shared" si="6"/>
        <v>39895.94548872181</v>
      </c>
      <c r="AT17" s="21">
        <f t="shared" si="7"/>
        <v>16241.714285714284</v>
      </c>
      <c r="AU17" s="21">
        <f t="shared" si="15"/>
        <v>56137.65977443609</v>
      </c>
      <c r="AV17" s="79" t="s">
        <v>20</v>
      </c>
    </row>
    <row r="18" spans="1:48" ht="24" customHeight="1">
      <c r="A18" s="26">
        <v>13</v>
      </c>
      <c r="B18" s="9" t="s">
        <v>21</v>
      </c>
      <c r="C18" s="11">
        <v>742.94</v>
      </c>
      <c r="D18" s="86">
        <f t="shared" si="8"/>
        <v>6.120000448667905</v>
      </c>
      <c r="E18" s="87">
        <f t="shared" si="9"/>
        <v>0.299999551332095</v>
      </c>
      <c r="F18" s="87"/>
      <c r="G18" s="87">
        <v>3.26</v>
      </c>
      <c r="H18" s="87">
        <v>1.08</v>
      </c>
      <c r="I18" s="87">
        <v>0.78</v>
      </c>
      <c r="J18" s="87">
        <v>0.61</v>
      </c>
      <c r="K18" s="87">
        <v>0.39</v>
      </c>
      <c r="L18" s="109">
        <v>12.54</v>
      </c>
      <c r="M18" s="87">
        <v>3.75</v>
      </c>
      <c r="N18" s="87">
        <f t="shared" si="10"/>
        <v>16.29</v>
      </c>
      <c r="O18" s="13">
        <f t="shared" si="11"/>
        <v>27280.766172248797</v>
      </c>
      <c r="P18" s="13">
        <v>1337.29</v>
      </c>
      <c r="Q18" s="13">
        <f t="shared" si="16"/>
        <v>0</v>
      </c>
      <c r="R18" s="13">
        <f t="shared" si="17"/>
        <v>14531.910143540668</v>
      </c>
      <c r="S18" s="13">
        <f t="shared" si="18"/>
        <v>4814.252440191388</v>
      </c>
      <c r="T18" s="13">
        <f t="shared" si="19"/>
        <v>3476.9600956937797</v>
      </c>
      <c r="U18" s="13">
        <f t="shared" si="20"/>
        <v>2719.1611004784686</v>
      </c>
      <c r="V18" s="13">
        <f t="shared" si="21"/>
        <v>1738.4800478468899</v>
      </c>
      <c r="W18" s="13">
        <v>55898.82</v>
      </c>
      <c r="X18" s="13">
        <v>16716.36</v>
      </c>
      <c r="Y18" s="15">
        <f t="shared" si="12"/>
        <v>72615.18</v>
      </c>
      <c r="Z18" s="15">
        <f t="shared" si="13"/>
        <v>28767.436459330143</v>
      </c>
      <c r="AA18" s="13">
        <v>1337.29</v>
      </c>
      <c r="AB18" s="15"/>
      <c r="AC18" s="13">
        <f t="shared" si="22"/>
        <v>15286.823716108454</v>
      </c>
      <c r="AD18" s="13">
        <f t="shared" si="23"/>
        <v>5064.346507177034</v>
      </c>
      <c r="AE18" s="13">
        <f t="shared" si="24"/>
        <v>3657.583588516747</v>
      </c>
      <c r="AF18" s="13">
        <f t="shared" si="25"/>
        <v>2860.4179346092506</v>
      </c>
      <c r="AG18" s="13">
        <f t="shared" si="26"/>
        <v>1828.7917942583736</v>
      </c>
      <c r="AH18" s="16">
        <v>58802.69</v>
      </c>
      <c r="AI18" s="4">
        <v>16604.59</v>
      </c>
      <c r="AJ18" s="15">
        <f t="shared" si="14"/>
        <v>75407.28</v>
      </c>
      <c r="AK18" s="21">
        <v>6069</v>
      </c>
      <c r="AL18" s="13">
        <v>1337.29</v>
      </c>
      <c r="AM18" s="21">
        <f t="shared" si="0"/>
        <v>0</v>
      </c>
      <c r="AN18" s="21">
        <f t="shared" si="1"/>
        <v>13839.914422419684</v>
      </c>
      <c r="AO18" s="21">
        <f t="shared" si="2"/>
        <v>4585.002323991798</v>
      </c>
      <c r="AP18" s="21">
        <f t="shared" si="3"/>
        <v>3311.3905673274094</v>
      </c>
      <c r="AQ18" s="21">
        <f t="shared" si="4"/>
        <v>2589.6772385509225</v>
      </c>
      <c r="AR18" s="21">
        <f t="shared" si="5"/>
        <v>1655.6952836637047</v>
      </c>
      <c r="AS18" s="22">
        <f t="shared" si="6"/>
        <v>33387.96983595352</v>
      </c>
      <c r="AT18" s="21">
        <f t="shared" si="7"/>
        <v>15920.342857142858</v>
      </c>
      <c r="AU18" s="21">
        <f t="shared" si="15"/>
        <v>49308.31269309638</v>
      </c>
      <c r="AV18" s="79" t="s">
        <v>21</v>
      </c>
    </row>
    <row r="19" spans="1:48" ht="24" customHeight="1">
      <c r="A19" s="26">
        <v>14</v>
      </c>
      <c r="B19" s="9" t="s">
        <v>22</v>
      </c>
      <c r="C19" s="11">
        <v>731.9</v>
      </c>
      <c r="D19" s="86">
        <f t="shared" si="8"/>
        <v>6.119999999999998</v>
      </c>
      <c r="E19" s="87">
        <f t="shared" si="9"/>
        <v>0.3</v>
      </c>
      <c r="F19" s="87"/>
      <c r="G19" s="87">
        <v>3.26</v>
      </c>
      <c r="H19" s="87">
        <v>1.08</v>
      </c>
      <c r="I19" s="87">
        <v>0.78</v>
      </c>
      <c r="J19" s="87">
        <v>0.61</v>
      </c>
      <c r="K19" s="87">
        <v>0.39</v>
      </c>
      <c r="L19" s="109">
        <v>12.54</v>
      </c>
      <c r="M19" s="87">
        <v>3.75</v>
      </c>
      <c r="N19" s="87">
        <f t="shared" si="10"/>
        <v>16.29</v>
      </c>
      <c r="O19" s="13">
        <f t="shared" si="11"/>
        <v>26875.31885167464</v>
      </c>
      <c r="P19" s="13">
        <v>1317.42</v>
      </c>
      <c r="Q19" s="13">
        <f t="shared" si="16"/>
        <v>0</v>
      </c>
      <c r="R19" s="13">
        <f t="shared" si="17"/>
        <v>14315.9390430622</v>
      </c>
      <c r="S19" s="13">
        <f t="shared" si="18"/>
        <v>4742.703732057417</v>
      </c>
      <c r="T19" s="13">
        <f t="shared" si="19"/>
        <v>3425.2860287081344</v>
      </c>
      <c r="U19" s="13">
        <f t="shared" si="20"/>
        <v>2678.7493301435406</v>
      </c>
      <c r="V19" s="13">
        <f t="shared" si="21"/>
        <v>1712.6430143540672</v>
      </c>
      <c r="W19" s="13">
        <v>55068.06</v>
      </c>
      <c r="X19" s="13">
        <v>16467.96</v>
      </c>
      <c r="Y19" s="15">
        <f t="shared" si="12"/>
        <v>71536.01999999999</v>
      </c>
      <c r="Z19" s="15">
        <f t="shared" si="13"/>
        <v>29716.040861244026</v>
      </c>
      <c r="AA19" s="13">
        <v>1317.42</v>
      </c>
      <c r="AB19" s="15"/>
      <c r="AC19" s="13">
        <f t="shared" si="22"/>
        <v>15758.424051036684</v>
      </c>
      <c r="AD19" s="13">
        <f t="shared" si="23"/>
        <v>5220.582200956938</v>
      </c>
      <c r="AE19" s="13">
        <f t="shared" si="24"/>
        <v>3770.4204784689</v>
      </c>
      <c r="AF19" s="13">
        <f t="shared" si="25"/>
        <v>2948.6621690590114</v>
      </c>
      <c r="AG19" s="13">
        <f t="shared" si="26"/>
        <v>1885.21023923445</v>
      </c>
      <c r="AH19" s="16">
        <v>60616.76</v>
      </c>
      <c r="AI19" s="4">
        <v>15443.66</v>
      </c>
      <c r="AJ19" s="15">
        <f t="shared" si="14"/>
        <v>76060.42</v>
      </c>
      <c r="AK19" s="21">
        <v>2811</v>
      </c>
      <c r="AL19" s="13">
        <v>1317.42</v>
      </c>
      <c r="AM19" s="21">
        <f t="shared" si="0"/>
        <v>0</v>
      </c>
      <c r="AN19" s="21">
        <f t="shared" si="1"/>
        <v>13634.227660059238</v>
      </c>
      <c r="AO19" s="21">
        <f t="shared" si="2"/>
        <v>4516.8606971975405</v>
      </c>
      <c r="AP19" s="21">
        <f t="shared" si="3"/>
        <v>3262.177170198223</v>
      </c>
      <c r="AQ19" s="21">
        <f t="shared" si="4"/>
        <v>2551.189838231943</v>
      </c>
      <c r="AR19" s="21">
        <f t="shared" si="5"/>
        <v>1631.0885850991115</v>
      </c>
      <c r="AS19" s="22">
        <f t="shared" si="6"/>
        <v>29723.96395078605</v>
      </c>
      <c r="AT19" s="21">
        <f t="shared" si="7"/>
        <v>15683.771428571426</v>
      </c>
      <c r="AU19" s="21">
        <f t="shared" si="15"/>
        <v>45407.73537935747</v>
      </c>
      <c r="AV19" s="79" t="s">
        <v>22</v>
      </c>
    </row>
    <row r="20" spans="1:48" ht="24" customHeight="1">
      <c r="A20" s="26">
        <v>15</v>
      </c>
      <c r="B20" s="9" t="s">
        <v>23</v>
      </c>
      <c r="C20" s="11">
        <v>715.04</v>
      </c>
      <c r="D20" s="86">
        <f t="shared" si="8"/>
        <v>6.119848959498769</v>
      </c>
      <c r="E20" s="87">
        <f t="shared" si="9"/>
        <v>0.3001510405012307</v>
      </c>
      <c r="F20" s="87"/>
      <c r="G20" s="87">
        <v>3.26</v>
      </c>
      <c r="H20" s="87">
        <v>1.08</v>
      </c>
      <c r="I20" s="87">
        <v>0.78</v>
      </c>
      <c r="J20" s="87">
        <v>0.61</v>
      </c>
      <c r="K20" s="87">
        <v>0.39</v>
      </c>
      <c r="L20" s="109">
        <v>12.54</v>
      </c>
      <c r="M20" s="87">
        <v>3.75</v>
      </c>
      <c r="N20" s="87">
        <f t="shared" si="10"/>
        <v>16.29</v>
      </c>
      <c r="O20" s="13">
        <f t="shared" si="11"/>
        <v>26258.011866028704</v>
      </c>
      <c r="P20" s="13">
        <v>1287.72</v>
      </c>
      <c r="Q20" s="13">
        <f t="shared" si="16"/>
        <v>0</v>
      </c>
      <c r="R20" s="13">
        <f t="shared" si="17"/>
        <v>13987.396555023923</v>
      </c>
      <c r="S20" s="13">
        <f t="shared" si="18"/>
        <v>4633.861435406699</v>
      </c>
      <c r="T20" s="13">
        <f t="shared" si="19"/>
        <v>3346.6777033492826</v>
      </c>
      <c r="U20" s="13">
        <f t="shared" si="20"/>
        <v>2617.2735885167463</v>
      </c>
      <c r="V20" s="13">
        <f t="shared" si="21"/>
        <v>1673.3388516746413</v>
      </c>
      <c r="W20" s="13">
        <v>53804.28</v>
      </c>
      <c r="X20" s="13">
        <v>16090.02</v>
      </c>
      <c r="Y20" s="15">
        <f>W20+X20</f>
        <v>69894.3</v>
      </c>
      <c r="Z20" s="15">
        <f t="shared" si="13"/>
        <v>22816.02153110048</v>
      </c>
      <c r="AA20" s="13">
        <v>1287.72</v>
      </c>
      <c r="AB20" s="15"/>
      <c r="AC20" s="13">
        <f t="shared" si="22"/>
        <v>12239.594609250398</v>
      </c>
      <c r="AD20" s="13">
        <f t="shared" si="23"/>
        <v>4054.8350239234455</v>
      </c>
      <c r="AE20" s="13">
        <f t="shared" si="24"/>
        <v>2928.491961722488</v>
      </c>
      <c r="AF20" s="13">
        <f t="shared" si="25"/>
        <v>2290.2308931419457</v>
      </c>
      <c r="AG20" s="13">
        <f t="shared" si="26"/>
        <v>1464.245980861244</v>
      </c>
      <c r="AH20" s="16">
        <v>47081.14</v>
      </c>
      <c r="AI20" s="4">
        <v>13927.82</v>
      </c>
      <c r="AJ20" s="15">
        <f t="shared" si="14"/>
        <v>61008.96</v>
      </c>
      <c r="AK20" s="21">
        <v>209558</v>
      </c>
      <c r="AL20" s="13">
        <v>1287.72</v>
      </c>
      <c r="AM20" s="21">
        <f t="shared" si="0"/>
        <v>0</v>
      </c>
      <c r="AN20" s="21">
        <f t="shared" si="1"/>
        <v>13321.330052403735</v>
      </c>
      <c r="AO20" s="21">
        <f t="shared" si="2"/>
        <v>4413.201367053998</v>
      </c>
      <c r="AP20" s="21">
        <f t="shared" si="3"/>
        <v>3187.312098427888</v>
      </c>
      <c r="AQ20" s="21">
        <f t="shared" si="4"/>
        <v>2492.6415128730914</v>
      </c>
      <c r="AR20" s="21">
        <f t="shared" si="5"/>
        <v>1593.656049213944</v>
      </c>
      <c r="AS20" s="22">
        <f t="shared" si="6"/>
        <v>235853.86107997264</v>
      </c>
      <c r="AT20" s="21">
        <f t="shared" si="7"/>
        <v>15323.828571428572</v>
      </c>
      <c r="AU20" s="21">
        <f t="shared" si="15"/>
        <v>251177.68965140122</v>
      </c>
      <c r="AV20" s="79" t="s">
        <v>23</v>
      </c>
    </row>
    <row r="21" spans="1:48" ht="24" customHeight="1">
      <c r="A21" s="26">
        <v>16</v>
      </c>
      <c r="B21" s="9" t="s">
        <v>24</v>
      </c>
      <c r="C21" s="11">
        <v>775.3</v>
      </c>
      <c r="D21" s="86">
        <f t="shared" si="8"/>
        <v>6.120107485274516</v>
      </c>
      <c r="E21" s="87">
        <f t="shared" si="9"/>
        <v>0.2998925147254826</v>
      </c>
      <c r="F21" s="87"/>
      <c r="G21" s="87">
        <v>3.26</v>
      </c>
      <c r="H21" s="87">
        <v>1.08</v>
      </c>
      <c r="I21" s="87">
        <v>0.78</v>
      </c>
      <c r="J21" s="87">
        <v>0.61</v>
      </c>
      <c r="K21" s="87">
        <v>0.39</v>
      </c>
      <c r="L21" s="109">
        <v>12.54</v>
      </c>
      <c r="M21" s="87">
        <v>3.75</v>
      </c>
      <c r="N21" s="87">
        <f t="shared" si="10"/>
        <v>16.29</v>
      </c>
      <c r="O21" s="13">
        <f t="shared" si="11"/>
        <v>28337.68995215312</v>
      </c>
      <c r="P21" s="13">
        <v>1395.04</v>
      </c>
      <c r="Q21" s="13">
        <f t="shared" si="16"/>
        <v>0</v>
      </c>
      <c r="R21" s="13">
        <f t="shared" si="17"/>
        <v>15097.928293460924</v>
      </c>
      <c r="S21" s="13">
        <f t="shared" si="18"/>
        <v>5001.767655502393</v>
      </c>
      <c r="T21" s="13">
        <f t="shared" si="19"/>
        <v>3612.3877511961723</v>
      </c>
      <c r="U21" s="13">
        <f t="shared" si="20"/>
        <v>2825.072472089314</v>
      </c>
      <c r="V21" s="13">
        <f t="shared" si="21"/>
        <v>1806.1938755980862</v>
      </c>
      <c r="W21" s="13">
        <v>58076.08</v>
      </c>
      <c r="X21" s="13">
        <v>17444.4</v>
      </c>
      <c r="Y21" s="15">
        <f t="shared" si="12"/>
        <v>75520.48000000001</v>
      </c>
      <c r="Z21" s="15">
        <f t="shared" si="13"/>
        <v>27918.649282296654</v>
      </c>
      <c r="AA21" s="13">
        <v>1395.04</v>
      </c>
      <c r="AB21" s="15"/>
      <c r="AC21" s="13">
        <f t="shared" si="22"/>
        <v>14885.144401913876</v>
      </c>
      <c r="AD21" s="13">
        <f t="shared" si="23"/>
        <v>4931.274832535886</v>
      </c>
      <c r="AE21" s="13">
        <f t="shared" si="24"/>
        <v>3561.4762679425844</v>
      </c>
      <c r="AF21" s="13">
        <f t="shared" si="25"/>
        <v>2785.2570813397133</v>
      </c>
      <c r="AG21" s="13">
        <f t="shared" si="26"/>
        <v>1780.7381339712922</v>
      </c>
      <c r="AH21" s="16">
        <v>57257.58</v>
      </c>
      <c r="AI21" s="4">
        <v>15081.52</v>
      </c>
      <c r="AJ21" s="15">
        <f t="shared" si="14"/>
        <v>72339.1</v>
      </c>
      <c r="AK21" s="21">
        <v>53233</v>
      </c>
      <c r="AL21" s="13">
        <v>1395.04</v>
      </c>
      <c r="AM21" s="21">
        <f t="shared" si="0"/>
        <v>0</v>
      </c>
      <c r="AN21" s="21">
        <f t="shared" si="1"/>
        <v>14378.97932710564</v>
      </c>
      <c r="AO21" s="21">
        <f t="shared" si="2"/>
        <v>4763.588243335612</v>
      </c>
      <c r="AP21" s="21">
        <f t="shared" si="3"/>
        <v>3440.369286853497</v>
      </c>
      <c r="AQ21" s="21">
        <f t="shared" si="4"/>
        <v>2690.5452115136322</v>
      </c>
      <c r="AR21" s="21">
        <f t="shared" si="5"/>
        <v>1720.1846434267486</v>
      </c>
      <c r="AS21" s="22">
        <f t="shared" si="6"/>
        <v>81621.70671223513</v>
      </c>
      <c r="AT21" s="21">
        <f t="shared" si="7"/>
        <v>16613.714285714286</v>
      </c>
      <c r="AU21" s="21">
        <f t="shared" si="15"/>
        <v>98235.42099794942</v>
      </c>
      <c r="AV21" s="79" t="s">
        <v>24</v>
      </c>
    </row>
    <row r="22" spans="1:48" ht="24" customHeight="1">
      <c r="A22" s="26">
        <v>17</v>
      </c>
      <c r="B22" s="9" t="s">
        <v>25</v>
      </c>
      <c r="C22" s="11">
        <v>717.09</v>
      </c>
      <c r="D22" s="86">
        <f t="shared" si="8"/>
        <v>6.120000464841698</v>
      </c>
      <c r="E22" s="87">
        <f t="shared" si="9"/>
        <v>0.29999953515830186</v>
      </c>
      <c r="F22" s="87"/>
      <c r="G22" s="87">
        <v>3.26</v>
      </c>
      <c r="H22" s="87">
        <v>1.08</v>
      </c>
      <c r="I22" s="87">
        <v>0.78</v>
      </c>
      <c r="J22" s="87">
        <v>0.61</v>
      </c>
      <c r="K22" s="87">
        <v>0.39</v>
      </c>
      <c r="L22" s="109">
        <v>12.54</v>
      </c>
      <c r="M22" s="87">
        <v>3.75</v>
      </c>
      <c r="N22" s="87">
        <f t="shared" si="10"/>
        <v>16.29</v>
      </c>
      <c r="O22" s="13">
        <f t="shared" si="11"/>
        <v>26331.581818181814</v>
      </c>
      <c r="P22" s="13">
        <v>1290.76</v>
      </c>
      <c r="Q22" s="13">
        <f t="shared" si="16"/>
        <v>0</v>
      </c>
      <c r="R22" s="13">
        <f t="shared" si="17"/>
        <v>14026.298181818182</v>
      </c>
      <c r="S22" s="13">
        <f t="shared" si="18"/>
        <v>4646.749090909092</v>
      </c>
      <c r="T22" s="13">
        <f t="shared" si="19"/>
        <v>3355.985454545455</v>
      </c>
      <c r="U22" s="13">
        <f t="shared" si="20"/>
        <v>2624.5527272727277</v>
      </c>
      <c r="V22" s="13">
        <f t="shared" si="21"/>
        <v>1677.9927272727275</v>
      </c>
      <c r="W22" s="13">
        <v>53953.92</v>
      </c>
      <c r="X22" s="13">
        <v>16134.72</v>
      </c>
      <c r="Y22" s="15">
        <f t="shared" si="12"/>
        <v>70088.64</v>
      </c>
      <c r="Z22" s="15">
        <f t="shared" si="13"/>
        <v>28107.116267942583</v>
      </c>
      <c r="AA22" s="13">
        <v>1290.76</v>
      </c>
      <c r="AB22" s="15"/>
      <c r="AC22" s="13">
        <f t="shared" si="22"/>
        <v>14927.893556618817</v>
      </c>
      <c r="AD22" s="13">
        <f t="shared" si="23"/>
        <v>4945.437129186603</v>
      </c>
      <c r="AE22" s="13">
        <f t="shared" si="24"/>
        <v>3571.704593301435</v>
      </c>
      <c r="AF22" s="13">
        <f t="shared" si="25"/>
        <v>2793.2561562998403</v>
      </c>
      <c r="AG22" s="13">
        <f t="shared" si="26"/>
        <v>1785.8522966507176</v>
      </c>
      <c r="AH22" s="16">
        <v>57422.02</v>
      </c>
      <c r="AI22" s="4">
        <v>17171.66</v>
      </c>
      <c r="AJ22" s="15">
        <f t="shared" si="14"/>
        <v>74593.68</v>
      </c>
      <c r="AK22" s="21">
        <v>6324.7</v>
      </c>
      <c r="AL22" s="13">
        <v>1290.76</v>
      </c>
      <c r="AM22" s="21">
        <f t="shared" si="0"/>
        <v>0</v>
      </c>
      <c r="AN22" s="21">
        <f t="shared" si="1"/>
        <v>13358.37922077922</v>
      </c>
      <c r="AO22" s="21">
        <f t="shared" si="2"/>
        <v>4425.475324675325</v>
      </c>
      <c r="AP22" s="21">
        <f t="shared" si="3"/>
        <v>3196.176623376624</v>
      </c>
      <c r="AQ22" s="21">
        <f t="shared" si="4"/>
        <v>2499.5740259740264</v>
      </c>
      <c r="AR22" s="21">
        <f t="shared" si="5"/>
        <v>1598.088311688312</v>
      </c>
      <c r="AS22" s="22">
        <f t="shared" si="6"/>
        <v>32693.15350649351</v>
      </c>
      <c r="AT22" s="21">
        <f t="shared" si="7"/>
        <v>15366.399999999998</v>
      </c>
      <c r="AU22" s="21">
        <f t="shared" si="15"/>
        <v>48059.55350649351</v>
      </c>
      <c r="AV22" s="79" t="s">
        <v>25</v>
      </c>
    </row>
    <row r="23" spans="1:48" ht="24" customHeight="1">
      <c r="A23" s="26">
        <v>18</v>
      </c>
      <c r="B23" s="9" t="s">
        <v>26</v>
      </c>
      <c r="C23" s="11">
        <v>720.18</v>
      </c>
      <c r="D23" s="86">
        <f t="shared" si="8"/>
        <v>6.120000925694501</v>
      </c>
      <c r="E23" s="87">
        <f t="shared" si="9"/>
        <v>0.2999990743054977</v>
      </c>
      <c r="F23" s="87"/>
      <c r="G23" s="87">
        <v>3.26</v>
      </c>
      <c r="H23" s="87">
        <v>1.08</v>
      </c>
      <c r="I23" s="87">
        <v>0.78</v>
      </c>
      <c r="J23" s="87">
        <v>0.61</v>
      </c>
      <c r="K23" s="87">
        <v>0.39</v>
      </c>
      <c r="L23" s="109">
        <v>12.54</v>
      </c>
      <c r="M23" s="87">
        <v>3.75</v>
      </c>
      <c r="N23" s="87">
        <f t="shared" si="10"/>
        <v>16.29</v>
      </c>
      <c r="O23" s="13">
        <f t="shared" si="11"/>
        <v>26445.692870813396</v>
      </c>
      <c r="P23" s="13">
        <v>1296.32</v>
      </c>
      <c r="Q23" s="13">
        <f t="shared" si="16"/>
        <v>0</v>
      </c>
      <c r="R23" s="13">
        <f t="shared" si="17"/>
        <v>14087.06572567783</v>
      </c>
      <c r="S23" s="13">
        <f t="shared" si="18"/>
        <v>4666.8806698564595</v>
      </c>
      <c r="T23" s="13">
        <f t="shared" si="19"/>
        <v>3370.5249282296654</v>
      </c>
      <c r="U23" s="13">
        <f t="shared" si="20"/>
        <v>2635.923341307815</v>
      </c>
      <c r="V23" s="13">
        <f t="shared" si="21"/>
        <v>1685.2624641148327</v>
      </c>
      <c r="W23" s="13">
        <v>54187.67</v>
      </c>
      <c r="X23" s="13">
        <v>16204.66</v>
      </c>
      <c r="Y23" s="15">
        <f t="shared" si="12"/>
        <v>70392.33</v>
      </c>
      <c r="Z23" s="15">
        <f t="shared" si="13"/>
        <v>25373.414641148327</v>
      </c>
      <c r="AA23" s="13">
        <v>1296.32</v>
      </c>
      <c r="AB23" s="15"/>
      <c r="AC23" s="13">
        <f t="shared" si="22"/>
        <v>13542.57553429027</v>
      </c>
      <c r="AD23" s="13">
        <f t="shared" si="23"/>
        <v>4486.497416267943</v>
      </c>
      <c r="AE23" s="13">
        <f t="shared" si="24"/>
        <v>3240.248133971292</v>
      </c>
      <c r="AF23" s="13">
        <f t="shared" si="25"/>
        <v>2534.040207336523</v>
      </c>
      <c r="AG23" s="13">
        <f t="shared" si="26"/>
        <v>1620.124066985646</v>
      </c>
      <c r="AH23" s="16">
        <v>52093.22</v>
      </c>
      <c r="AI23" s="4">
        <v>15577.26</v>
      </c>
      <c r="AJ23" s="15">
        <f t="shared" si="14"/>
        <v>67670.48</v>
      </c>
      <c r="AK23" s="21">
        <v>4461.5</v>
      </c>
      <c r="AL23" s="13">
        <v>1296.32</v>
      </c>
      <c r="AM23" s="21">
        <f t="shared" si="0"/>
        <v>0</v>
      </c>
      <c r="AN23" s="21">
        <f t="shared" si="1"/>
        <v>13416.253072074123</v>
      </c>
      <c r="AO23" s="21">
        <f t="shared" si="2"/>
        <v>4444.648257006152</v>
      </c>
      <c r="AP23" s="21">
        <f t="shared" si="3"/>
        <v>3210.0237411711096</v>
      </c>
      <c r="AQ23" s="21">
        <f t="shared" si="4"/>
        <v>2510.403182197919</v>
      </c>
      <c r="AR23" s="21">
        <f t="shared" si="5"/>
        <v>1605.0118705855548</v>
      </c>
      <c r="AS23" s="22">
        <f t="shared" si="6"/>
        <v>30944.16012303486</v>
      </c>
      <c r="AT23" s="21">
        <f t="shared" si="7"/>
        <v>15433.009523809524</v>
      </c>
      <c r="AU23" s="21">
        <f t="shared" si="15"/>
        <v>46377.169646844384</v>
      </c>
      <c r="AV23" s="79" t="s">
        <v>26</v>
      </c>
    </row>
    <row r="24" spans="1:48" ht="24" customHeight="1">
      <c r="A24" s="26">
        <v>19</v>
      </c>
      <c r="B24" s="9" t="s">
        <v>27</v>
      </c>
      <c r="C24" s="11">
        <v>375.4</v>
      </c>
      <c r="D24" s="86">
        <f t="shared" si="8"/>
        <v>6.119999999999998</v>
      </c>
      <c r="E24" s="87">
        <f t="shared" si="9"/>
        <v>0.30000000000000004</v>
      </c>
      <c r="F24" s="87"/>
      <c r="G24" s="87">
        <v>3.26</v>
      </c>
      <c r="H24" s="87">
        <v>1.08</v>
      </c>
      <c r="I24" s="87">
        <v>0.78</v>
      </c>
      <c r="J24" s="87">
        <v>0.61</v>
      </c>
      <c r="K24" s="87">
        <v>0.39</v>
      </c>
      <c r="L24" s="109">
        <v>12.54</v>
      </c>
      <c r="M24" s="87">
        <v>3.75</v>
      </c>
      <c r="N24" s="87">
        <f t="shared" si="10"/>
        <v>16.29</v>
      </c>
      <c r="O24" s="13">
        <f t="shared" si="11"/>
        <v>13784.669569377988</v>
      </c>
      <c r="P24" s="13">
        <v>675.72</v>
      </c>
      <c r="Q24" s="13">
        <f t="shared" si="16"/>
        <v>0</v>
      </c>
      <c r="R24" s="13">
        <f t="shared" si="17"/>
        <v>7342.814641148326</v>
      </c>
      <c r="S24" s="13">
        <f t="shared" si="18"/>
        <v>2432.588899521532</v>
      </c>
      <c r="T24" s="13">
        <f t="shared" si="19"/>
        <v>1756.8697607655506</v>
      </c>
      <c r="U24" s="13">
        <f t="shared" si="20"/>
        <v>1373.962248803828</v>
      </c>
      <c r="V24" s="13">
        <f t="shared" si="21"/>
        <v>878.4348803827753</v>
      </c>
      <c r="W24" s="13">
        <v>28245.06</v>
      </c>
      <c r="X24" s="13">
        <v>8446.62</v>
      </c>
      <c r="Y24" s="15">
        <f t="shared" si="12"/>
        <v>36691.68</v>
      </c>
      <c r="Z24" s="15">
        <f t="shared" si="13"/>
        <v>10936.749377990436</v>
      </c>
      <c r="AA24" s="13">
        <v>675.72</v>
      </c>
      <c r="AB24" s="15"/>
      <c r="AC24" s="13">
        <f t="shared" si="22"/>
        <v>5896.674481658692</v>
      </c>
      <c r="AD24" s="13">
        <f t="shared" si="23"/>
        <v>1953.4995215311005</v>
      </c>
      <c r="AE24" s="13">
        <f t="shared" si="24"/>
        <v>1410.8607655502392</v>
      </c>
      <c r="AF24" s="13">
        <f t="shared" si="25"/>
        <v>1103.3654704944179</v>
      </c>
      <c r="AG24" s="13">
        <f t="shared" si="26"/>
        <v>705.4303827751196</v>
      </c>
      <c r="AH24" s="16">
        <v>22682.3</v>
      </c>
      <c r="AI24" s="4">
        <v>6764.1</v>
      </c>
      <c r="AJ24" s="15">
        <f t="shared" si="14"/>
        <v>29446.4</v>
      </c>
      <c r="AK24" s="21">
        <v>1885</v>
      </c>
      <c r="AL24" s="13">
        <v>675.72</v>
      </c>
      <c r="AM24" s="21">
        <f t="shared" si="0"/>
        <v>0</v>
      </c>
      <c r="AN24" s="21">
        <f t="shared" si="1"/>
        <v>6993.1568010936435</v>
      </c>
      <c r="AO24" s="21">
        <f t="shared" si="2"/>
        <v>2316.7513328776495</v>
      </c>
      <c r="AP24" s="21">
        <f t="shared" si="3"/>
        <v>1673.2092959671909</v>
      </c>
      <c r="AQ24" s="21">
        <f t="shared" si="4"/>
        <v>1308.5354750512647</v>
      </c>
      <c r="AR24" s="21">
        <f t="shared" si="5"/>
        <v>836.6046479835954</v>
      </c>
      <c r="AS24" s="22">
        <f t="shared" si="6"/>
        <v>15688.977552973345</v>
      </c>
      <c r="AT24" s="21">
        <f t="shared" si="7"/>
        <v>8044.400000000001</v>
      </c>
      <c r="AU24" s="21">
        <f t="shared" si="15"/>
        <v>23733.377552973347</v>
      </c>
      <c r="AV24" s="79" t="s">
        <v>27</v>
      </c>
    </row>
    <row r="25" spans="1:48" ht="24" customHeight="1">
      <c r="A25" s="26">
        <v>20</v>
      </c>
      <c r="B25" s="9" t="s">
        <v>28</v>
      </c>
      <c r="C25" s="11">
        <v>366.6</v>
      </c>
      <c r="D25" s="86">
        <f t="shared" si="8"/>
        <v>6.119999999999998</v>
      </c>
      <c r="E25" s="87">
        <f t="shared" si="9"/>
        <v>0.3</v>
      </c>
      <c r="F25" s="87"/>
      <c r="G25" s="87">
        <v>3.26</v>
      </c>
      <c r="H25" s="87">
        <v>1.08</v>
      </c>
      <c r="I25" s="87">
        <v>0.78</v>
      </c>
      <c r="J25" s="87">
        <v>0.61</v>
      </c>
      <c r="K25" s="87">
        <v>0.39</v>
      </c>
      <c r="L25" s="109">
        <v>12.54</v>
      </c>
      <c r="M25" s="87">
        <v>3.75</v>
      </c>
      <c r="N25" s="87">
        <f t="shared" si="10"/>
        <v>16.29</v>
      </c>
      <c r="O25" s="13">
        <f t="shared" si="11"/>
        <v>13461.601148325364</v>
      </c>
      <c r="P25" s="13">
        <v>659.88</v>
      </c>
      <c r="Q25" s="13">
        <f t="shared" si="16"/>
        <v>0</v>
      </c>
      <c r="R25" s="13">
        <f t="shared" si="17"/>
        <v>7170.7209569378</v>
      </c>
      <c r="S25" s="13">
        <f t="shared" si="18"/>
        <v>2375.5762679425843</v>
      </c>
      <c r="T25" s="13">
        <f t="shared" si="19"/>
        <v>1715.6939712918665</v>
      </c>
      <c r="U25" s="13">
        <f t="shared" si="20"/>
        <v>1341.7606698564596</v>
      </c>
      <c r="V25" s="13">
        <f t="shared" si="21"/>
        <v>857.8469856459333</v>
      </c>
      <c r="W25" s="13">
        <v>27583.08</v>
      </c>
      <c r="X25" s="13">
        <v>8248.62</v>
      </c>
      <c r="Y25" s="15">
        <f t="shared" si="12"/>
        <v>35831.700000000004</v>
      </c>
      <c r="Z25" s="15">
        <f t="shared" si="13"/>
        <v>10941.024162679423</v>
      </c>
      <c r="AA25" s="13">
        <v>659.88</v>
      </c>
      <c r="AB25" s="15"/>
      <c r="AC25" s="13">
        <f t="shared" si="22"/>
        <v>5890.801802232854</v>
      </c>
      <c r="AD25" s="13">
        <f t="shared" si="23"/>
        <v>1951.5539712918662</v>
      </c>
      <c r="AE25" s="13">
        <f t="shared" si="24"/>
        <v>1409.4556459330145</v>
      </c>
      <c r="AF25" s="13">
        <f t="shared" si="25"/>
        <v>1102.2665948963318</v>
      </c>
      <c r="AG25" s="13">
        <f t="shared" si="26"/>
        <v>704.7278229665072</v>
      </c>
      <c r="AH25" s="16">
        <v>22659.71</v>
      </c>
      <c r="AI25" s="4">
        <v>6632.09</v>
      </c>
      <c r="AJ25" s="15">
        <f t="shared" si="14"/>
        <v>29291.8</v>
      </c>
      <c r="AK25" s="21">
        <v>1880</v>
      </c>
      <c r="AL25" s="13">
        <v>659.88</v>
      </c>
      <c r="AM25" s="21">
        <f t="shared" si="0"/>
        <v>0</v>
      </c>
      <c r="AN25" s="21">
        <f t="shared" si="1"/>
        <v>6829.258054226476</v>
      </c>
      <c r="AO25" s="21">
        <f t="shared" si="2"/>
        <v>2262.453588516747</v>
      </c>
      <c r="AP25" s="21">
        <f t="shared" si="3"/>
        <v>1633.994258373206</v>
      </c>
      <c r="AQ25" s="21">
        <f t="shared" si="4"/>
        <v>1277.8673046251995</v>
      </c>
      <c r="AR25" s="21">
        <f t="shared" si="5"/>
        <v>816.997129186603</v>
      </c>
      <c r="AS25" s="22">
        <f t="shared" si="6"/>
        <v>15360.450334928231</v>
      </c>
      <c r="AT25" s="21">
        <f t="shared" si="7"/>
        <v>7855.828571428572</v>
      </c>
      <c r="AU25" s="21">
        <f t="shared" si="15"/>
        <v>23216.278906356805</v>
      </c>
      <c r="AV25" s="79" t="s">
        <v>28</v>
      </c>
    </row>
    <row r="26" spans="1:48" ht="24" customHeight="1">
      <c r="A26" s="26">
        <v>21</v>
      </c>
      <c r="B26" s="9" t="s">
        <v>29</v>
      </c>
      <c r="C26" s="11">
        <v>723.38</v>
      </c>
      <c r="D26" s="86">
        <f t="shared" si="8"/>
        <v>6.119602329803606</v>
      </c>
      <c r="E26" s="87">
        <f t="shared" si="9"/>
        <v>0.30039767019639285</v>
      </c>
      <c r="F26" s="87"/>
      <c r="G26" s="87">
        <v>3.26</v>
      </c>
      <c r="H26" s="87">
        <v>1.08</v>
      </c>
      <c r="I26" s="87">
        <v>0.78</v>
      </c>
      <c r="J26" s="87">
        <v>0.61</v>
      </c>
      <c r="K26" s="87">
        <v>0.39</v>
      </c>
      <c r="L26" s="109">
        <v>12.54</v>
      </c>
      <c r="M26" s="87">
        <v>3.75</v>
      </c>
      <c r="N26" s="87">
        <f t="shared" si="10"/>
        <v>16.29</v>
      </c>
      <c r="O26" s="13">
        <f t="shared" si="11"/>
        <v>26599.383779904303</v>
      </c>
      <c r="P26" s="13">
        <v>1303.81</v>
      </c>
      <c r="Q26" s="13">
        <f t="shared" si="16"/>
        <v>0</v>
      </c>
      <c r="R26" s="13">
        <f t="shared" si="17"/>
        <v>14168.911483253589</v>
      </c>
      <c r="S26" s="13">
        <f t="shared" si="18"/>
        <v>4693.995215311005</v>
      </c>
      <c r="T26" s="13">
        <f t="shared" si="19"/>
        <v>3390.107655502393</v>
      </c>
      <c r="U26" s="13">
        <f t="shared" si="20"/>
        <v>2651.2380382775123</v>
      </c>
      <c r="V26" s="13">
        <f t="shared" si="21"/>
        <v>1695.0538277511964</v>
      </c>
      <c r="W26" s="13">
        <v>54502.5</v>
      </c>
      <c r="X26" s="13">
        <v>16298.62</v>
      </c>
      <c r="Y26" s="15">
        <f t="shared" si="12"/>
        <v>70801.12</v>
      </c>
      <c r="Z26" s="15">
        <f t="shared" si="13"/>
        <v>22267.50157894737</v>
      </c>
      <c r="AA26" s="13">
        <v>1303.81</v>
      </c>
      <c r="AB26" s="15"/>
      <c r="AC26" s="13">
        <f t="shared" si="22"/>
        <v>11969.232982456142</v>
      </c>
      <c r="AD26" s="13">
        <f t="shared" si="23"/>
        <v>3965.2673684210536</v>
      </c>
      <c r="AE26" s="13">
        <f t="shared" si="24"/>
        <v>2863.8042105263166</v>
      </c>
      <c r="AF26" s="13">
        <f t="shared" si="25"/>
        <v>2239.641754385965</v>
      </c>
      <c r="AG26" s="13">
        <f t="shared" si="26"/>
        <v>1431.9021052631583</v>
      </c>
      <c r="AH26" s="16">
        <v>46041.16</v>
      </c>
      <c r="AI26" s="4">
        <v>13597.68</v>
      </c>
      <c r="AJ26" s="15">
        <f t="shared" si="14"/>
        <v>59638.840000000004</v>
      </c>
      <c r="AK26" s="21">
        <v>2107</v>
      </c>
      <c r="AL26" s="13">
        <v>1303.81</v>
      </c>
      <c r="AM26" s="21">
        <f t="shared" si="0"/>
        <v>0</v>
      </c>
      <c r="AN26" s="21">
        <f t="shared" si="1"/>
        <v>13494.201412622466</v>
      </c>
      <c r="AO26" s="21">
        <f t="shared" si="2"/>
        <v>4470.471633629529</v>
      </c>
      <c r="AP26" s="21">
        <f t="shared" si="3"/>
        <v>3228.6739576213263</v>
      </c>
      <c r="AQ26" s="21">
        <f t="shared" si="4"/>
        <v>2524.9886078833447</v>
      </c>
      <c r="AR26" s="21">
        <f t="shared" si="5"/>
        <v>1614.3369788106631</v>
      </c>
      <c r="AS26" s="22">
        <f t="shared" si="6"/>
        <v>28743.482590567328</v>
      </c>
      <c r="AT26" s="21">
        <f t="shared" si="7"/>
        <v>15522.495238095238</v>
      </c>
      <c r="AU26" s="21">
        <f t="shared" si="15"/>
        <v>44265.977828662566</v>
      </c>
      <c r="AV26" s="79" t="s">
        <v>29</v>
      </c>
    </row>
    <row r="27" spans="1:48" ht="24" customHeight="1">
      <c r="A27" s="26">
        <v>22</v>
      </c>
      <c r="B27" s="9" t="s">
        <v>59</v>
      </c>
      <c r="C27" s="11">
        <v>736.1</v>
      </c>
      <c r="D27" s="86">
        <f t="shared" si="8"/>
        <v>5.783639451161526</v>
      </c>
      <c r="E27" s="87">
        <f t="shared" si="9"/>
        <v>0.636360548838473</v>
      </c>
      <c r="F27" s="87"/>
      <c r="G27" s="87">
        <v>3.26</v>
      </c>
      <c r="H27" s="87">
        <v>1.08</v>
      </c>
      <c r="I27" s="87">
        <v>0.78</v>
      </c>
      <c r="J27" s="87">
        <v>0.61</v>
      </c>
      <c r="K27" s="87">
        <v>0.39</v>
      </c>
      <c r="L27" s="109">
        <v>12.54</v>
      </c>
      <c r="M27" s="87">
        <v>3.75</v>
      </c>
      <c r="N27" s="87">
        <f t="shared" si="10"/>
        <v>16.29</v>
      </c>
      <c r="O27" s="13">
        <f t="shared" si="11"/>
        <v>25552.421244019144</v>
      </c>
      <c r="P27" s="13">
        <v>2810.55</v>
      </c>
      <c r="Q27" s="13">
        <f t="shared" si="16"/>
        <v>0</v>
      </c>
      <c r="R27" s="13">
        <f t="shared" si="17"/>
        <v>14402.381036682615</v>
      </c>
      <c r="S27" s="13">
        <f t="shared" si="18"/>
        <v>4771.340956937799</v>
      </c>
      <c r="T27" s="13">
        <f t="shared" si="19"/>
        <v>3445.9684688995217</v>
      </c>
      <c r="U27" s="13">
        <f t="shared" si="20"/>
        <v>2694.9240590111644</v>
      </c>
      <c r="V27" s="13">
        <f t="shared" si="21"/>
        <v>1722.9842344497608</v>
      </c>
      <c r="W27" s="13">
        <v>55400.57</v>
      </c>
      <c r="X27" s="13">
        <v>16567.46</v>
      </c>
      <c r="Y27" s="15">
        <f t="shared" si="12"/>
        <v>71968.03</v>
      </c>
      <c r="Z27" s="15">
        <f t="shared" si="13"/>
        <v>24955.386842105265</v>
      </c>
      <c r="AA27" s="13">
        <v>2810.55</v>
      </c>
      <c r="AB27" s="15"/>
      <c r="AC27" s="13">
        <f t="shared" si="22"/>
        <v>14099.21403508772</v>
      </c>
      <c r="AD27" s="13">
        <f t="shared" si="23"/>
        <v>4670.905263157895</v>
      </c>
      <c r="AE27" s="13">
        <f t="shared" si="24"/>
        <v>3373.431578947369</v>
      </c>
      <c r="AF27" s="13">
        <f t="shared" si="25"/>
        <v>2638.1964912280705</v>
      </c>
      <c r="AG27" s="13">
        <f t="shared" si="26"/>
        <v>1686.7157894736845</v>
      </c>
      <c r="AH27" s="16">
        <v>54234.4</v>
      </c>
      <c r="AI27" s="4">
        <v>15834.17</v>
      </c>
      <c r="AJ27" s="15">
        <f t="shared" si="14"/>
        <v>70068.57</v>
      </c>
      <c r="AK27" s="21">
        <v>9443</v>
      </c>
      <c r="AL27" s="13">
        <v>2810.55</v>
      </c>
      <c r="AM27" s="21">
        <f t="shared" si="0"/>
        <v>0</v>
      </c>
      <c r="AN27" s="21">
        <f t="shared" si="1"/>
        <v>13716.553368269157</v>
      </c>
      <c r="AO27" s="21">
        <f t="shared" si="2"/>
        <v>4544.1342447026655</v>
      </c>
      <c r="AP27" s="21">
        <f t="shared" si="3"/>
        <v>3281.8747322852587</v>
      </c>
      <c r="AQ27" s="21">
        <f t="shared" si="4"/>
        <v>2566.5943419153946</v>
      </c>
      <c r="AR27" s="21">
        <f t="shared" si="5"/>
        <v>1640.9373661426293</v>
      </c>
      <c r="AS27" s="22">
        <f t="shared" si="6"/>
        <v>38003.6440533151</v>
      </c>
      <c r="AT27" s="21">
        <f t="shared" si="7"/>
        <v>15778.533333333331</v>
      </c>
      <c r="AU27" s="21">
        <f t="shared" si="15"/>
        <v>53782.17738664844</v>
      </c>
      <c r="AV27" s="79" t="s">
        <v>59</v>
      </c>
    </row>
    <row r="28" spans="1:48" ht="24" customHeight="1">
      <c r="A28" s="26">
        <v>23</v>
      </c>
      <c r="B28" s="9" t="s">
        <v>60</v>
      </c>
      <c r="C28" s="11">
        <v>721.5</v>
      </c>
      <c r="D28" s="86">
        <f t="shared" si="8"/>
        <v>5.666978516978516</v>
      </c>
      <c r="E28" s="87">
        <f t="shared" si="9"/>
        <v>0.7530214830214831</v>
      </c>
      <c r="F28" s="87"/>
      <c r="G28" s="87">
        <v>3.26</v>
      </c>
      <c r="H28" s="87">
        <v>1.08</v>
      </c>
      <c r="I28" s="87">
        <v>0.78</v>
      </c>
      <c r="J28" s="87">
        <v>0.61</v>
      </c>
      <c r="K28" s="87">
        <v>0.39</v>
      </c>
      <c r="L28" s="109">
        <v>12.54</v>
      </c>
      <c r="M28" s="87">
        <v>3.75</v>
      </c>
      <c r="N28" s="87">
        <f t="shared" si="10"/>
        <v>16.29</v>
      </c>
      <c r="O28" s="13">
        <f t="shared" si="11"/>
        <v>24532.31928229665</v>
      </c>
      <c r="P28" s="13">
        <v>3259.83</v>
      </c>
      <c r="Q28" s="13">
        <f t="shared" si="16"/>
        <v>0</v>
      </c>
      <c r="R28" s="13">
        <f t="shared" si="17"/>
        <v>14112.524401913875</v>
      </c>
      <c r="S28" s="13">
        <f t="shared" si="18"/>
        <v>4675.314832535886</v>
      </c>
      <c r="T28" s="13">
        <f t="shared" si="19"/>
        <v>3376.6162679425843</v>
      </c>
      <c r="U28" s="13">
        <f t="shared" si="20"/>
        <v>2640.687081339713</v>
      </c>
      <c r="V28" s="13">
        <f t="shared" si="21"/>
        <v>1688.3081339712921</v>
      </c>
      <c r="W28" s="13">
        <v>54285.6</v>
      </c>
      <c r="X28" s="13">
        <v>16234.02</v>
      </c>
      <c r="Y28" s="15">
        <f t="shared" si="12"/>
        <v>70519.62</v>
      </c>
      <c r="Z28" s="15">
        <f t="shared" si="13"/>
        <v>28972.74248803828</v>
      </c>
      <c r="AA28" s="13">
        <v>3259.83</v>
      </c>
      <c r="AB28" s="15"/>
      <c r="AC28" s="13">
        <f t="shared" si="22"/>
        <v>16367.318740031897</v>
      </c>
      <c r="AD28" s="13">
        <f t="shared" si="23"/>
        <v>5422.301913875598</v>
      </c>
      <c r="AE28" s="13">
        <f t="shared" si="24"/>
        <v>3916.106937799043</v>
      </c>
      <c r="AF28" s="13">
        <f t="shared" si="25"/>
        <v>3062.5964513556614</v>
      </c>
      <c r="AG28" s="13">
        <f t="shared" si="26"/>
        <v>1958.0534688995215</v>
      </c>
      <c r="AH28" s="16">
        <v>62958.95</v>
      </c>
      <c r="AI28" s="4">
        <v>19513.29</v>
      </c>
      <c r="AJ28" s="15">
        <f t="shared" si="14"/>
        <v>82472.23999999999</v>
      </c>
      <c r="AK28" s="21"/>
      <c r="AL28" s="13">
        <v>3259.83</v>
      </c>
      <c r="AM28" s="21">
        <f t="shared" si="0"/>
        <v>0</v>
      </c>
      <c r="AN28" s="21">
        <f t="shared" si="1"/>
        <v>13440.499430394166</v>
      </c>
      <c r="AO28" s="21">
        <f t="shared" si="2"/>
        <v>4452.68079289132</v>
      </c>
      <c r="AP28" s="21">
        <f t="shared" si="3"/>
        <v>3215.825017088175</v>
      </c>
      <c r="AQ28" s="21">
        <f t="shared" si="4"/>
        <v>2514.940077466393</v>
      </c>
      <c r="AR28" s="21">
        <f t="shared" si="5"/>
        <v>1607.9125085440876</v>
      </c>
      <c r="AS28" s="22">
        <f t="shared" si="6"/>
        <v>28491.68782638414</v>
      </c>
      <c r="AT28" s="21">
        <f t="shared" si="7"/>
        <v>15460.971428571429</v>
      </c>
      <c r="AU28" s="21">
        <f t="shared" si="15"/>
        <v>43952.659254955564</v>
      </c>
      <c r="AV28" s="79" t="s">
        <v>60</v>
      </c>
    </row>
    <row r="29" spans="1:48" ht="24" customHeight="1">
      <c r="A29" s="26">
        <v>24</v>
      </c>
      <c r="B29" s="9" t="s">
        <v>30</v>
      </c>
      <c r="C29" s="11">
        <v>742.94</v>
      </c>
      <c r="D29" s="86">
        <f t="shared" si="8"/>
        <v>6.120000448667905</v>
      </c>
      <c r="E29" s="87">
        <f t="shared" si="9"/>
        <v>0.299999551332095</v>
      </c>
      <c r="F29" s="87"/>
      <c r="G29" s="87">
        <v>3.26</v>
      </c>
      <c r="H29" s="87">
        <v>1.08</v>
      </c>
      <c r="I29" s="87">
        <v>0.78</v>
      </c>
      <c r="J29" s="87">
        <v>0.61</v>
      </c>
      <c r="K29" s="87">
        <v>0.39</v>
      </c>
      <c r="L29" s="109">
        <v>12.54</v>
      </c>
      <c r="M29" s="87">
        <v>3.75</v>
      </c>
      <c r="N29" s="87">
        <f t="shared" si="10"/>
        <v>16.29</v>
      </c>
      <c r="O29" s="13">
        <f t="shared" si="11"/>
        <v>27325.06110047846</v>
      </c>
      <c r="P29" s="13">
        <v>1337.29</v>
      </c>
      <c r="Q29" s="13">
        <f t="shared" si="16"/>
        <v>0</v>
      </c>
      <c r="R29" s="13">
        <f t="shared" si="17"/>
        <v>14554.402583732057</v>
      </c>
      <c r="S29" s="13">
        <f t="shared" si="18"/>
        <v>4821.703923444977</v>
      </c>
      <c r="T29" s="13">
        <f t="shared" si="19"/>
        <v>3482.3417224880386</v>
      </c>
      <c r="U29" s="13">
        <f t="shared" si="20"/>
        <v>2723.36980861244</v>
      </c>
      <c r="V29" s="13">
        <f t="shared" si="21"/>
        <v>1741.1708612440193</v>
      </c>
      <c r="W29" s="13">
        <v>55985.34</v>
      </c>
      <c r="X29" s="13">
        <v>16742.34</v>
      </c>
      <c r="Y29" s="15">
        <f t="shared" si="12"/>
        <v>72727.68</v>
      </c>
      <c r="Z29" s="15">
        <f t="shared" si="13"/>
        <v>27927.102488038283</v>
      </c>
      <c r="AA29" s="13">
        <v>1337.29</v>
      </c>
      <c r="AB29" s="15"/>
      <c r="AC29" s="13">
        <f t="shared" si="22"/>
        <v>14860.11207336523</v>
      </c>
      <c r="AD29" s="13">
        <f t="shared" si="23"/>
        <v>4922.981913875598</v>
      </c>
      <c r="AE29" s="13">
        <f t="shared" si="24"/>
        <v>3555.486937799043</v>
      </c>
      <c r="AF29" s="13">
        <f t="shared" si="25"/>
        <v>2780.5731180223283</v>
      </c>
      <c r="AG29" s="13">
        <f t="shared" si="26"/>
        <v>1777.7434688995215</v>
      </c>
      <c r="AH29" s="16">
        <v>57161.29</v>
      </c>
      <c r="AI29" s="4">
        <v>16126.57</v>
      </c>
      <c r="AJ29" s="15">
        <f t="shared" si="14"/>
        <v>73287.86</v>
      </c>
      <c r="AK29" s="21">
        <v>9508.9</v>
      </c>
      <c r="AL29" s="13">
        <v>1337.29</v>
      </c>
      <c r="AM29" s="21">
        <f t="shared" si="0"/>
        <v>0</v>
      </c>
      <c r="AN29" s="21">
        <f t="shared" si="1"/>
        <v>13861.33579403053</v>
      </c>
      <c r="AO29" s="21">
        <f t="shared" si="2"/>
        <v>4592.098974709502</v>
      </c>
      <c r="AP29" s="21">
        <f t="shared" si="3"/>
        <v>3316.515926179084</v>
      </c>
      <c r="AQ29" s="21">
        <f t="shared" si="4"/>
        <v>2593.6855320118475</v>
      </c>
      <c r="AR29" s="21">
        <f t="shared" si="5"/>
        <v>1658.257963089542</v>
      </c>
      <c r="AS29" s="22">
        <f t="shared" si="6"/>
        <v>36868.084190020505</v>
      </c>
      <c r="AT29" s="21">
        <f t="shared" si="7"/>
        <v>15945.085714285713</v>
      </c>
      <c r="AU29" s="21">
        <f t="shared" si="15"/>
        <v>52813.16990430622</v>
      </c>
      <c r="AV29" s="79" t="s">
        <v>30</v>
      </c>
    </row>
    <row r="30" spans="1:48" ht="24" customHeight="1">
      <c r="A30" s="26">
        <v>25</v>
      </c>
      <c r="B30" s="9" t="s">
        <v>31</v>
      </c>
      <c r="C30" s="11">
        <v>731.55</v>
      </c>
      <c r="D30" s="86">
        <f t="shared" si="8"/>
        <v>6.119671929464833</v>
      </c>
      <c r="E30" s="87">
        <f t="shared" si="9"/>
        <v>0.3003280705351651</v>
      </c>
      <c r="F30" s="87"/>
      <c r="G30" s="87">
        <v>3.26</v>
      </c>
      <c r="H30" s="87">
        <v>1.08</v>
      </c>
      <c r="I30" s="87">
        <v>0.78</v>
      </c>
      <c r="J30" s="87">
        <v>0.61</v>
      </c>
      <c r="K30" s="87">
        <v>0.39</v>
      </c>
      <c r="L30" s="109">
        <v>12.54</v>
      </c>
      <c r="M30" s="87">
        <v>3.75</v>
      </c>
      <c r="N30" s="87">
        <f t="shared" si="10"/>
        <v>16.29</v>
      </c>
      <c r="O30" s="13">
        <f t="shared" si="11"/>
        <v>26861.48454545455</v>
      </c>
      <c r="P30" s="13">
        <v>1318.23</v>
      </c>
      <c r="Q30" s="13">
        <f t="shared" si="16"/>
        <v>0</v>
      </c>
      <c r="R30" s="13">
        <f t="shared" si="17"/>
        <v>14309.325454545455</v>
      </c>
      <c r="S30" s="13">
        <f t="shared" si="18"/>
        <v>4740.512727272729</v>
      </c>
      <c r="T30" s="13">
        <f t="shared" si="19"/>
        <v>3423.703636363637</v>
      </c>
      <c r="U30" s="13">
        <f t="shared" si="20"/>
        <v>2677.5118181818184</v>
      </c>
      <c r="V30" s="13">
        <f t="shared" si="21"/>
        <v>1711.8518181818185</v>
      </c>
      <c r="W30" s="13">
        <v>55042.62</v>
      </c>
      <c r="X30" s="13">
        <v>16460.34</v>
      </c>
      <c r="Y30" s="15">
        <f t="shared" si="12"/>
        <v>71502.96</v>
      </c>
      <c r="Z30" s="15">
        <f t="shared" si="13"/>
        <v>24201.500382775117</v>
      </c>
      <c r="AA30" s="13">
        <v>1318.23</v>
      </c>
      <c r="AB30" s="15"/>
      <c r="AC30" s="13">
        <f t="shared" si="22"/>
        <v>12958.616985645933</v>
      </c>
      <c r="AD30" s="13">
        <f t="shared" si="23"/>
        <v>4293.038755980861</v>
      </c>
      <c r="AE30" s="13">
        <f t="shared" si="24"/>
        <v>3100.527990430622</v>
      </c>
      <c r="AF30" s="13">
        <f t="shared" si="25"/>
        <v>2424.7718899521533</v>
      </c>
      <c r="AG30" s="13">
        <f t="shared" si="26"/>
        <v>1550.263995215311</v>
      </c>
      <c r="AH30" s="16">
        <v>49846.95</v>
      </c>
      <c r="AI30" s="4">
        <v>14917.75</v>
      </c>
      <c r="AJ30" s="15">
        <f t="shared" si="14"/>
        <v>64764.7</v>
      </c>
      <c r="AK30" s="21">
        <v>3613.3</v>
      </c>
      <c r="AL30" s="13">
        <v>1318.23</v>
      </c>
      <c r="AM30" s="21">
        <f t="shared" si="0"/>
        <v>0</v>
      </c>
      <c r="AN30" s="21">
        <f t="shared" si="1"/>
        <v>13627.929004329004</v>
      </c>
      <c r="AO30" s="21">
        <f t="shared" si="2"/>
        <v>4514.774025974027</v>
      </c>
      <c r="AP30" s="21">
        <f t="shared" si="3"/>
        <v>3260.6701298701305</v>
      </c>
      <c r="AQ30" s="21">
        <f t="shared" si="4"/>
        <v>2550.0112554112557</v>
      </c>
      <c r="AR30" s="21">
        <f t="shared" si="5"/>
        <v>1630.3350649350652</v>
      </c>
      <c r="AS30" s="22">
        <f t="shared" si="6"/>
        <v>30515.249480519484</v>
      </c>
      <c r="AT30" s="21">
        <f t="shared" si="7"/>
        <v>15676.514285714286</v>
      </c>
      <c r="AU30" s="21">
        <f t="shared" si="15"/>
        <v>46191.763766233766</v>
      </c>
      <c r="AV30" s="79" t="s">
        <v>31</v>
      </c>
    </row>
    <row r="31" spans="1:48" ht="24" customHeight="1" thickBot="1">
      <c r="A31" s="26">
        <v>26</v>
      </c>
      <c r="B31" s="9" t="s">
        <v>149</v>
      </c>
      <c r="C31" s="11">
        <v>731.5</v>
      </c>
      <c r="D31" s="86">
        <f t="shared" si="8"/>
        <v>6.119999999999998</v>
      </c>
      <c r="E31" s="87">
        <f t="shared" si="9"/>
        <v>0.3</v>
      </c>
      <c r="F31" s="87"/>
      <c r="G31" s="87">
        <v>3.26</v>
      </c>
      <c r="H31" s="87">
        <v>1.08</v>
      </c>
      <c r="I31" s="87">
        <v>0.78</v>
      </c>
      <c r="J31" s="87">
        <v>0.61</v>
      </c>
      <c r="K31" s="87">
        <v>0.39</v>
      </c>
      <c r="L31" s="109">
        <v>12.54</v>
      </c>
      <c r="M31" s="87">
        <v>3.75</v>
      </c>
      <c r="N31" s="87">
        <f t="shared" si="10"/>
        <v>16.29</v>
      </c>
      <c r="O31" s="13">
        <f t="shared" si="11"/>
        <v>26641.760047846878</v>
      </c>
      <c r="P31" s="13">
        <v>1316.7</v>
      </c>
      <c r="Q31" s="13">
        <f t="shared" si="16"/>
        <v>0</v>
      </c>
      <c r="R31" s="13">
        <f t="shared" si="17"/>
        <v>14196.975039872408</v>
      </c>
      <c r="S31" s="13">
        <f t="shared" si="18"/>
        <v>4703.292344497609</v>
      </c>
      <c r="T31" s="13">
        <f t="shared" si="19"/>
        <v>3396.822248803828</v>
      </c>
      <c r="U31" s="13">
        <f t="shared" si="20"/>
        <v>2656.4891945773525</v>
      </c>
      <c r="V31" s="13">
        <f t="shared" si="21"/>
        <v>1698.411124401914</v>
      </c>
      <c r="W31" s="13">
        <v>54610.45</v>
      </c>
      <c r="X31" s="13">
        <v>16331.26</v>
      </c>
      <c r="Y31" s="15">
        <f t="shared" si="12"/>
        <v>70941.70999999999</v>
      </c>
      <c r="Z31" s="15">
        <f t="shared" si="13"/>
        <v>24956.335980861233</v>
      </c>
      <c r="AA31" s="13">
        <v>1316.7</v>
      </c>
      <c r="AB31" s="15"/>
      <c r="AC31" s="13">
        <f t="shared" si="22"/>
        <v>13341.136650717704</v>
      </c>
      <c r="AD31" s="13">
        <f t="shared" si="23"/>
        <v>4419.763062200957</v>
      </c>
      <c r="AE31" s="13">
        <f t="shared" si="24"/>
        <v>3192.0511004784694</v>
      </c>
      <c r="AF31" s="13">
        <f t="shared" si="25"/>
        <v>2496.3476555023926</v>
      </c>
      <c r="AG31" s="13">
        <f t="shared" si="26"/>
        <v>1596.0255502392347</v>
      </c>
      <c r="AH31" s="16">
        <v>51318.36</v>
      </c>
      <c r="AI31" s="4">
        <v>15263.39</v>
      </c>
      <c r="AJ31" s="15">
        <f t="shared" si="14"/>
        <v>66581.75</v>
      </c>
      <c r="AK31" s="21"/>
      <c r="AL31" s="13">
        <v>1316.7</v>
      </c>
      <c r="AM31" s="21">
        <f aca="true" t="shared" si="27" ref="AM31:AR31">Q31/1.05</f>
        <v>0</v>
      </c>
      <c r="AN31" s="21">
        <f t="shared" si="27"/>
        <v>13520.928609402294</v>
      </c>
      <c r="AO31" s="21">
        <f t="shared" si="27"/>
        <v>4479.326042378675</v>
      </c>
      <c r="AP31" s="21">
        <f t="shared" si="27"/>
        <v>3235.068808384598</v>
      </c>
      <c r="AQ31" s="21">
        <f t="shared" si="27"/>
        <v>2529.989709121288</v>
      </c>
      <c r="AR31" s="21">
        <f t="shared" si="27"/>
        <v>1617.534404192299</v>
      </c>
      <c r="AS31" s="22">
        <f>SUM(AK31:AQ31)+AR31</f>
        <v>26699.547573479154</v>
      </c>
      <c r="AT31" s="21">
        <f t="shared" si="7"/>
        <v>15553.580952380951</v>
      </c>
      <c r="AU31" s="21">
        <f t="shared" si="15"/>
        <v>42253.128525860106</v>
      </c>
      <c r="AV31" s="9" t="s">
        <v>149</v>
      </c>
    </row>
    <row r="32" spans="1:48" s="195" customFormat="1" ht="24" customHeight="1" thickBot="1">
      <c r="A32" s="26">
        <v>27</v>
      </c>
      <c r="B32" s="149" t="s">
        <v>125</v>
      </c>
      <c r="C32" s="150">
        <v>296.9</v>
      </c>
      <c r="D32" s="86">
        <f t="shared" si="8"/>
        <v>1.0099999999999998</v>
      </c>
      <c r="E32" s="87">
        <f t="shared" si="9"/>
        <v>0.3</v>
      </c>
      <c r="F32" s="219">
        <v>7.55</v>
      </c>
      <c r="G32" s="152">
        <v>3.26</v>
      </c>
      <c r="H32" s="152">
        <v>1.08</v>
      </c>
      <c r="I32" s="152">
        <v>0.78</v>
      </c>
      <c r="J32" s="152">
        <v>0.61</v>
      </c>
      <c r="K32" s="152">
        <v>0.39</v>
      </c>
      <c r="L32" s="153">
        <v>14.98</v>
      </c>
      <c r="M32" s="152">
        <v>3.75</v>
      </c>
      <c r="N32" s="152">
        <f t="shared" si="10"/>
        <v>18.73</v>
      </c>
      <c r="O32" s="13">
        <f t="shared" si="11"/>
        <v>2410.7240987983987</v>
      </c>
      <c r="P32" s="154">
        <v>534.42</v>
      </c>
      <c r="Q32" s="154">
        <f>W32/14.98*7.55</f>
        <v>16973.922096128168</v>
      </c>
      <c r="R32" s="154">
        <f>W32/14.98*3.26</f>
        <v>7329.137222963951</v>
      </c>
      <c r="S32" s="154">
        <f>W32/14.98*1.08</f>
        <v>2428.0577303070763</v>
      </c>
      <c r="T32" s="154">
        <f>W32/14.98*0.78</f>
        <v>1753.5972496662216</v>
      </c>
      <c r="U32" s="154">
        <f>W32/14.98*0.61</f>
        <v>1371.4029773030707</v>
      </c>
      <c r="V32" s="154">
        <f>W32/14.98*0.39</f>
        <v>876.7986248331108</v>
      </c>
      <c r="W32" s="154">
        <v>33678.06</v>
      </c>
      <c r="X32" s="154">
        <v>8430.9</v>
      </c>
      <c r="Y32" s="113">
        <f t="shared" si="12"/>
        <v>42108.96</v>
      </c>
      <c r="Z32" s="15">
        <f t="shared" si="13"/>
        <v>2315.0425033377883</v>
      </c>
      <c r="AA32" s="154">
        <v>534.42</v>
      </c>
      <c r="AB32" s="154">
        <f>AH32/14.98*7.55</f>
        <v>16422.4747329773</v>
      </c>
      <c r="AC32" s="154">
        <f>AH32/14.98*3.26</f>
        <v>7091.028825100133</v>
      </c>
      <c r="AD32" s="154">
        <f>AH32/14.98*1.08</f>
        <v>2349.1751935914554</v>
      </c>
      <c r="AE32" s="154">
        <f>AH32/14.98*0.78</f>
        <v>1696.62652870494</v>
      </c>
      <c r="AF32" s="154">
        <f>AH32/14.98*0.61</f>
        <v>1326.8489519359146</v>
      </c>
      <c r="AG32" s="154">
        <f>AH32/14.98*0.39</f>
        <v>848.31326435247</v>
      </c>
      <c r="AH32" s="155">
        <v>32583.93</v>
      </c>
      <c r="AI32" s="156">
        <v>8032.73</v>
      </c>
      <c r="AJ32" s="113">
        <f t="shared" si="14"/>
        <v>40616.66</v>
      </c>
      <c r="AK32" s="157">
        <v>1057</v>
      </c>
      <c r="AL32" s="154">
        <v>534.42</v>
      </c>
      <c r="AM32" s="157"/>
      <c r="AN32" s="157">
        <f aca="true" t="shared" si="28" ref="AN32:AR33">R32/1.05</f>
        <v>6980.130688537096</v>
      </c>
      <c r="AO32" s="157">
        <f t="shared" si="28"/>
        <v>2312.4359336257867</v>
      </c>
      <c r="AP32" s="157">
        <f t="shared" si="28"/>
        <v>1670.0926187297348</v>
      </c>
      <c r="AQ32" s="157">
        <f t="shared" si="28"/>
        <v>1306.098073621972</v>
      </c>
      <c r="AR32" s="157">
        <f t="shared" si="28"/>
        <v>835.0463093648674</v>
      </c>
      <c r="AS32" s="158">
        <f>SUM(AK32:AQ32)+AR32</f>
        <v>14695.223623879458</v>
      </c>
      <c r="AT32" s="157">
        <f>X32/1.05</f>
        <v>8029.428571428571</v>
      </c>
      <c r="AU32" s="157">
        <f t="shared" si="15"/>
        <v>22724.65219530803</v>
      </c>
      <c r="AV32" s="149" t="s">
        <v>125</v>
      </c>
    </row>
    <row r="33" spans="1:48" ht="24" customHeight="1">
      <c r="A33" s="26">
        <v>28</v>
      </c>
      <c r="B33" s="9" t="s">
        <v>168</v>
      </c>
      <c r="C33" s="11">
        <v>922.8</v>
      </c>
      <c r="D33" s="86">
        <f t="shared" si="8"/>
        <v>6.119999999999998</v>
      </c>
      <c r="E33" s="87">
        <f t="shared" si="9"/>
        <v>0.3</v>
      </c>
      <c r="F33" s="87"/>
      <c r="G33" s="87">
        <v>3.26</v>
      </c>
      <c r="H33" s="87">
        <v>1.08</v>
      </c>
      <c r="I33" s="87">
        <v>0.78</v>
      </c>
      <c r="J33" s="87">
        <v>0.61</v>
      </c>
      <c r="K33" s="87">
        <v>0.39</v>
      </c>
      <c r="L33" s="109">
        <v>12.54</v>
      </c>
      <c r="M33" s="87">
        <v>3.75</v>
      </c>
      <c r="N33" s="87">
        <f t="shared" si="10"/>
        <v>16.29</v>
      </c>
      <c r="O33" s="13">
        <f t="shared" si="11"/>
        <v>-1464.19990411458</v>
      </c>
      <c r="P33" s="13">
        <v>1661.04</v>
      </c>
      <c r="Q33" s="13">
        <f>W33/14.98*7.55</f>
        <v>12469.041722296395</v>
      </c>
      <c r="R33" s="13">
        <f t="shared" si="17"/>
        <v>6431.584848484849</v>
      </c>
      <c r="S33" s="13">
        <f t="shared" si="18"/>
        <v>2130.7090909090916</v>
      </c>
      <c r="T33" s="13">
        <f t="shared" si="19"/>
        <v>1538.845454545455</v>
      </c>
      <c r="U33" s="13">
        <f t="shared" si="20"/>
        <v>1203.4560606060609</v>
      </c>
      <c r="V33" s="13">
        <f t="shared" si="21"/>
        <v>769.4227272727275</v>
      </c>
      <c r="W33" s="13">
        <v>24739.9</v>
      </c>
      <c r="X33" s="13">
        <v>952.89</v>
      </c>
      <c r="Y33" s="15">
        <f t="shared" si="12"/>
        <v>25692.79</v>
      </c>
      <c r="Z33" s="15">
        <f t="shared" si="13"/>
        <v>-824.8836363636362</v>
      </c>
      <c r="AA33" s="13">
        <v>1661.04</v>
      </c>
      <c r="AB33" s="15"/>
      <c r="AC33" s="13">
        <f>AH33/12.54*3.26</f>
        <v>424.590303030303</v>
      </c>
      <c r="AD33" s="13">
        <f>AH33/12.54*1.08</f>
        <v>140.6618181818182</v>
      </c>
      <c r="AE33" s="13">
        <f>AH33/12.54*0.78</f>
        <v>101.58909090909091</v>
      </c>
      <c r="AF33" s="13">
        <f>AH33/12.54*0.61</f>
        <v>79.44787878787879</v>
      </c>
      <c r="AG33" s="13">
        <f t="shared" si="26"/>
        <v>50.79454545454546</v>
      </c>
      <c r="AH33" s="16">
        <v>1633.24</v>
      </c>
      <c r="AI33" s="4">
        <v>488.45</v>
      </c>
      <c r="AJ33" s="15">
        <f t="shared" si="14"/>
        <v>2121.69</v>
      </c>
      <c r="AK33" s="21"/>
      <c r="AL33" s="13">
        <v>1661.04</v>
      </c>
      <c r="AM33" s="21"/>
      <c r="AN33" s="157">
        <f t="shared" si="28"/>
        <v>6125.318903318904</v>
      </c>
      <c r="AO33" s="157">
        <f t="shared" si="28"/>
        <v>2029.2467532467538</v>
      </c>
      <c r="AP33" s="157">
        <f t="shared" si="28"/>
        <v>1465.5670995670998</v>
      </c>
      <c r="AQ33" s="157">
        <f t="shared" si="28"/>
        <v>1146.1486291486294</v>
      </c>
      <c r="AR33" s="157">
        <f t="shared" si="28"/>
        <v>732.7835497835499</v>
      </c>
      <c r="AS33" s="158">
        <f>SUM(AK33:AQ33)+AR33</f>
        <v>13160.104935064935</v>
      </c>
      <c r="AT33" s="21">
        <f>X33/1.05</f>
        <v>907.5142857142856</v>
      </c>
      <c r="AU33" s="157">
        <f t="shared" si="15"/>
        <v>14067.619220779221</v>
      </c>
      <c r="AV33" s="9" t="s">
        <v>168</v>
      </c>
    </row>
    <row r="34" spans="1:48" ht="24" customHeight="1">
      <c r="A34" s="26">
        <v>29</v>
      </c>
      <c r="B34" s="9" t="s">
        <v>32</v>
      </c>
      <c r="C34" s="11">
        <v>604.56</v>
      </c>
      <c r="D34" s="86">
        <f t="shared" si="8"/>
        <v>5.064438379427462</v>
      </c>
      <c r="E34" s="87">
        <f t="shared" si="9"/>
        <v>1.3555616205725378</v>
      </c>
      <c r="F34" s="87"/>
      <c r="G34" s="87">
        <v>3.26</v>
      </c>
      <c r="H34" s="87">
        <v>1.08</v>
      </c>
      <c r="I34" s="87">
        <v>0.78</v>
      </c>
      <c r="J34" s="87">
        <v>0.61</v>
      </c>
      <c r="K34" s="87">
        <v>0.39</v>
      </c>
      <c r="L34" s="109">
        <v>12.54</v>
      </c>
      <c r="M34" s="87">
        <v>3.75</v>
      </c>
      <c r="N34" s="87">
        <f t="shared" si="10"/>
        <v>16.29</v>
      </c>
      <c r="O34" s="13">
        <f t="shared" si="11"/>
        <v>9271.028564593298</v>
      </c>
      <c r="P34" s="13">
        <v>4917.11</v>
      </c>
      <c r="Q34" s="13">
        <f>F34*C34*6</f>
        <v>0</v>
      </c>
      <c r="R34" s="13">
        <f t="shared" si="17"/>
        <v>7204.568803827751</v>
      </c>
      <c r="S34" s="13">
        <f t="shared" si="18"/>
        <v>2386.7896650717707</v>
      </c>
      <c r="T34" s="13">
        <f t="shared" si="19"/>
        <v>1723.7925358851676</v>
      </c>
      <c r="U34" s="13">
        <f t="shared" si="20"/>
        <v>1348.0941626794258</v>
      </c>
      <c r="V34" s="13">
        <f t="shared" si="21"/>
        <v>861.8962679425838</v>
      </c>
      <c r="W34" s="13">
        <v>27713.28</v>
      </c>
      <c r="X34" s="13">
        <v>8287.62</v>
      </c>
      <c r="Y34" s="15">
        <f t="shared" si="12"/>
        <v>36000.9</v>
      </c>
      <c r="Z34" s="15">
        <f t="shared" si="13"/>
        <v>-1216.4970813397126</v>
      </c>
      <c r="AA34" s="13">
        <v>4917.11</v>
      </c>
      <c r="AB34" s="15"/>
      <c r="AC34" s="13">
        <f>AH34/12.54*3.26</f>
        <v>1879.127432216906</v>
      </c>
      <c r="AD34" s="13">
        <f>AH34/12.54*1.08</f>
        <v>622.5330143540672</v>
      </c>
      <c r="AE34" s="13">
        <f>AH34/12.54*0.78</f>
        <v>449.6071770334929</v>
      </c>
      <c r="AF34" s="13">
        <f>AH34/12.54*0.61</f>
        <v>351.61586921850085</v>
      </c>
      <c r="AG34" s="13">
        <f t="shared" si="26"/>
        <v>224.80358851674646</v>
      </c>
      <c r="AH34" s="16">
        <v>7228.3</v>
      </c>
      <c r="AI34" s="4">
        <v>2017.22</v>
      </c>
      <c r="AJ34" s="15">
        <f t="shared" si="14"/>
        <v>9245.52</v>
      </c>
      <c r="AK34" s="21">
        <v>3382</v>
      </c>
      <c r="AL34" s="13">
        <v>4917.11</v>
      </c>
      <c r="AM34" s="21">
        <f aca="true" t="shared" si="29" ref="AM34:AR35">Q34/1.05</f>
        <v>0</v>
      </c>
      <c r="AN34" s="21">
        <f t="shared" si="29"/>
        <v>6861.494098883572</v>
      </c>
      <c r="AO34" s="21">
        <f t="shared" si="29"/>
        <v>2273.133014354067</v>
      </c>
      <c r="AP34" s="21">
        <f t="shared" si="29"/>
        <v>1641.7071770334928</v>
      </c>
      <c r="AQ34" s="21">
        <f t="shared" si="29"/>
        <v>1283.8992025518342</v>
      </c>
      <c r="AR34" s="21">
        <f t="shared" si="29"/>
        <v>820.8535885167464</v>
      </c>
      <c r="AS34" s="22">
        <f>SUM(AK34:AQ34)+AR34</f>
        <v>21180.197081339717</v>
      </c>
      <c r="AT34" s="21">
        <f>X34/1.05</f>
        <v>7892.971428571429</v>
      </c>
      <c r="AU34" s="21">
        <f t="shared" si="15"/>
        <v>29073.168509911146</v>
      </c>
      <c r="AV34" s="79" t="s">
        <v>32</v>
      </c>
    </row>
    <row r="35" spans="1:48" ht="24" customHeight="1" thickBot="1">
      <c r="A35" s="26">
        <v>30</v>
      </c>
      <c r="B35" s="9" t="s">
        <v>33</v>
      </c>
      <c r="C35" s="11">
        <v>393.44</v>
      </c>
      <c r="D35" s="86">
        <f t="shared" si="8"/>
        <v>6.04444082960553</v>
      </c>
      <c r="E35" s="87">
        <f t="shared" si="9"/>
        <v>0.37555917039446923</v>
      </c>
      <c r="F35" s="87"/>
      <c r="G35" s="87">
        <v>3.26</v>
      </c>
      <c r="H35" s="87">
        <v>1.08</v>
      </c>
      <c r="I35" s="87">
        <v>0.78</v>
      </c>
      <c r="J35" s="87">
        <v>0.61</v>
      </c>
      <c r="K35" s="87">
        <v>0.39</v>
      </c>
      <c r="L35" s="109">
        <v>12.54</v>
      </c>
      <c r="M35" s="87">
        <v>3.75</v>
      </c>
      <c r="N35" s="87">
        <f t="shared" si="10"/>
        <v>16.29</v>
      </c>
      <c r="O35" s="13">
        <f t="shared" si="11"/>
        <v>13488.741531100479</v>
      </c>
      <c r="P35" s="139">
        <v>886.56</v>
      </c>
      <c r="Q35" s="139">
        <f>F35*C35*6</f>
        <v>0</v>
      </c>
      <c r="R35" s="13">
        <f t="shared" si="17"/>
        <v>7299.6079425837315</v>
      </c>
      <c r="S35" s="13">
        <f t="shared" si="18"/>
        <v>2418.275023923445</v>
      </c>
      <c r="T35" s="13">
        <f t="shared" si="19"/>
        <v>1746.5319617224882</v>
      </c>
      <c r="U35" s="13">
        <f t="shared" si="20"/>
        <v>1365.8775598086124</v>
      </c>
      <c r="V35" s="13">
        <f t="shared" si="21"/>
        <v>873.2659808612441</v>
      </c>
      <c r="W35" s="139">
        <v>28078.86</v>
      </c>
      <c r="X35" s="139">
        <v>8396.94</v>
      </c>
      <c r="Y35" s="15">
        <f t="shared" si="12"/>
        <v>36475.8</v>
      </c>
      <c r="Z35" s="15">
        <f t="shared" si="13"/>
        <v>12156.345789473688</v>
      </c>
      <c r="AA35" s="139">
        <v>886.56</v>
      </c>
      <c r="AB35" s="15"/>
      <c r="AC35" s="13">
        <f>AH35/12.54*3.26</f>
        <v>6623.033157894737</v>
      </c>
      <c r="AD35" s="13">
        <f>AH35/12.54*1.08</f>
        <v>2194.1336842105266</v>
      </c>
      <c r="AE35" s="13">
        <f>AH35/12.54*0.78</f>
        <v>1584.652105263158</v>
      </c>
      <c r="AF35" s="13">
        <f>AH35/12.54*0.61</f>
        <v>1239.2792105263159</v>
      </c>
      <c r="AG35" s="13">
        <f t="shared" si="26"/>
        <v>792.326052631579</v>
      </c>
      <c r="AH35" s="16">
        <v>25476.33</v>
      </c>
      <c r="AI35" s="4">
        <v>7483.75</v>
      </c>
      <c r="AJ35" s="15">
        <f t="shared" si="14"/>
        <v>32960.08</v>
      </c>
      <c r="AK35" s="21">
        <v>1568</v>
      </c>
      <c r="AL35" s="139">
        <v>886.56</v>
      </c>
      <c r="AM35" s="21">
        <f t="shared" si="29"/>
        <v>0</v>
      </c>
      <c r="AN35" s="21">
        <f t="shared" si="29"/>
        <v>6952.007564365458</v>
      </c>
      <c r="AO35" s="21">
        <f t="shared" si="29"/>
        <v>2303.119070403281</v>
      </c>
      <c r="AP35" s="21">
        <f t="shared" si="29"/>
        <v>1663.3637730690364</v>
      </c>
      <c r="AQ35" s="21">
        <f t="shared" si="29"/>
        <v>1300.8357712462976</v>
      </c>
      <c r="AR35" s="21">
        <f t="shared" si="29"/>
        <v>831.6818865345182</v>
      </c>
      <c r="AS35" s="22">
        <f>SUM(AK35:AQ35)+AR35</f>
        <v>15505.568065618592</v>
      </c>
      <c r="AT35" s="21">
        <f>X35/1.05</f>
        <v>7997.085714285715</v>
      </c>
      <c r="AU35" s="21">
        <f t="shared" si="15"/>
        <v>23502.653779904307</v>
      </c>
      <c r="AV35" s="79" t="s">
        <v>33</v>
      </c>
    </row>
    <row r="36" spans="1:48" ht="12.75" customHeight="1">
      <c r="A36" s="23"/>
      <c r="B36" s="225" t="s">
        <v>0</v>
      </c>
      <c r="C36" s="225" t="s">
        <v>1</v>
      </c>
      <c r="D36" s="232" t="s">
        <v>8</v>
      </c>
      <c r="E36" s="233"/>
      <c r="F36" s="233"/>
      <c r="G36" s="233"/>
      <c r="H36" s="233"/>
      <c r="I36" s="233"/>
      <c r="J36" s="233"/>
      <c r="K36" s="233"/>
      <c r="L36" s="5"/>
      <c r="M36" s="125"/>
      <c r="N36" s="147"/>
      <c r="O36" s="245" t="s">
        <v>2</v>
      </c>
      <c r="P36" s="246"/>
      <c r="Q36" s="246"/>
      <c r="R36" s="246"/>
      <c r="S36" s="246"/>
      <c r="T36" s="246"/>
      <c r="U36" s="246"/>
      <c r="V36" s="121"/>
      <c r="W36" s="121"/>
      <c r="X36" s="121"/>
      <c r="Y36" s="140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9"/>
      <c r="AU36" s="62"/>
      <c r="AV36" s="251" t="s">
        <v>0</v>
      </c>
    </row>
    <row r="37" spans="1:48" ht="9" customHeight="1" thickBot="1">
      <c r="A37" s="25"/>
      <c r="B37" s="226"/>
      <c r="C37" s="226"/>
      <c r="D37" s="238"/>
      <c r="E37" s="239"/>
      <c r="F37" s="239"/>
      <c r="G37" s="239"/>
      <c r="H37" s="239"/>
      <c r="I37" s="239"/>
      <c r="J37" s="239"/>
      <c r="K37" s="239"/>
      <c r="L37" s="5"/>
      <c r="M37" s="120"/>
      <c r="N37" s="147"/>
      <c r="O37" s="247"/>
      <c r="P37" s="248"/>
      <c r="Q37" s="248"/>
      <c r="R37" s="248"/>
      <c r="S37" s="248"/>
      <c r="T37" s="248"/>
      <c r="U37" s="248"/>
      <c r="V37" s="138"/>
      <c r="W37" s="138"/>
      <c r="X37" s="138"/>
      <c r="Y37" s="140"/>
      <c r="Z37" s="228" t="s">
        <v>82</v>
      </c>
      <c r="AA37" s="228"/>
      <c r="AB37" s="228"/>
      <c r="AC37" s="228"/>
      <c r="AD37" s="228"/>
      <c r="AE37" s="228"/>
      <c r="AF37" s="228"/>
      <c r="AG37" s="228"/>
      <c r="AH37" s="229"/>
      <c r="AI37" s="224" t="s">
        <v>126</v>
      </c>
      <c r="AJ37" s="4"/>
      <c r="AK37" s="230" t="s">
        <v>4</v>
      </c>
      <c r="AL37" s="230"/>
      <c r="AM37" s="230"/>
      <c r="AN37" s="230"/>
      <c r="AO37" s="230"/>
      <c r="AP37" s="230"/>
      <c r="AQ37" s="230"/>
      <c r="AR37" s="230"/>
      <c r="AS37" s="230"/>
      <c r="AT37" s="224" t="s">
        <v>128</v>
      </c>
      <c r="AU37" s="146"/>
      <c r="AV37" s="252"/>
    </row>
    <row r="38" spans="1:48" ht="104.25" customHeight="1">
      <c r="A38" s="24" t="s">
        <v>65</v>
      </c>
      <c r="B38" s="230"/>
      <c r="C38" s="224"/>
      <c r="D38" s="83" t="s">
        <v>89</v>
      </c>
      <c r="E38" s="84" t="s">
        <v>84</v>
      </c>
      <c r="F38" s="84" t="s">
        <v>90</v>
      </c>
      <c r="G38" s="84" t="s">
        <v>91</v>
      </c>
      <c r="H38" s="84" t="s">
        <v>92</v>
      </c>
      <c r="I38" s="84" t="s">
        <v>93</v>
      </c>
      <c r="J38" s="84" t="s">
        <v>83</v>
      </c>
      <c r="K38" s="84" t="s">
        <v>94</v>
      </c>
      <c r="L38" s="85" t="s">
        <v>70</v>
      </c>
      <c r="M38" s="124" t="s">
        <v>118</v>
      </c>
      <c r="N38" s="141" t="s">
        <v>136</v>
      </c>
      <c r="O38" s="83" t="s">
        <v>89</v>
      </c>
      <c r="P38" s="84" t="s">
        <v>84</v>
      </c>
      <c r="Q38" s="84" t="s">
        <v>90</v>
      </c>
      <c r="R38" s="84" t="s">
        <v>119</v>
      </c>
      <c r="S38" s="84" t="s">
        <v>120</v>
      </c>
      <c r="T38" s="84" t="s">
        <v>137</v>
      </c>
      <c r="U38" s="84" t="s">
        <v>121</v>
      </c>
      <c r="V38" s="84" t="s">
        <v>122</v>
      </c>
      <c r="W38" s="85" t="s">
        <v>123</v>
      </c>
      <c r="X38" s="141" t="s">
        <v>124</v>
      </c>
      <c r="Y38" s="141" t="s">
        <v>136</v>
      </c>
      <c r="Z38" s="83" t="s">
        <v>89</v>
      </c>
      <c r="AA38" s="84" t="s">
        <v>84</v>
      </c>
      <c r="AB38" s="84" t="s">
        <v>90</v>
      </c>
      <c r="AC38" s="84" t="s">
        <v>91</v>
      </c>
      <c r="AD38" s="84" t="s">
        <v>92</v>
      </c>
      <c r="AE38" s="84" t="s">
        <v>93</v>
      </c>
      <c r="AF38" s="84" t="s">
        <v>83</v>
      </c>
      <c r="AG38" s="84" t="s">
        <v>115</v>
      </c>
      <c r="AH38" s="85" t="s">
        <v>127</v>
      </c>
      <c r="AI38" s="224"/>
      <c r="AJ38" s="141" t="s">
        <v>136</v>
      </c>
      <c r="AK38" s="83" t="s">
        <v>89</v>
      </c>
      <c r="AL38" s="84" t="s">
        <v>84</v>
      </c>
      <c r="AM38" s="84" t="s">
        <v>90</v>
      </c>
      <c r="AN38" s="84" t="s">
        <v>91</v>
      </c>
      <c r="AO38" s="84" t="s">
        <v>92</v>
      </c>
      <c r="AP38" s="84" t="s">
        <v>93</v>
      </c>
      <c r="AQ38" s="84" t="s">
        <v>83</v>
      </c>
      <c r="AR38" s="84" t="s">
        <v>115</v>
      </c>
      <c r="AS38" s="85" t="s">
        <v>70</v>
      </c>
      <c r="AT38" s="224"/>
      <c r="AU38" s="141" t="s">
        <v>136</v>
      </c>
      <c r="AV38" s="250"/>
    </row>
    <row r="39" spans="1:48" ht="22.5" customHeight="1">
      <c r="A39" s="26">
        <v>31</v>
      </c>
      <c r="B39" s="9" t="s">
        <v>34</v>
      </c>
      <c r="C39" s="11">
        <v>354.7</v>
      </c>
      <c r="D39" s="86">
        <f aca="true" t="shared" si="30" ref="D39:D64">L39-E39-F39-G39-H39-I39-J39-K39</f>
        <v>6.17664411239545</v>
      </c>
      <c r="E39" s="87">
        <f aca="true" t="shared" si="31" ref="E39:E64">P39/C39/6</f>
        <v>0.24335588760454843</v>
      </c>
      <c r="F39" s="87"/>
      <c r="G39" s="87">
        <v>3.26</v>
      </c>
      <c r="H39" s="87">
        <v>1.08</v>
      </c>
      <c r="I39" s="87">
        <v>0.78</v>
      </c>
      <c r="J39" s="87">
        <v>0.61</v>
      </c>
      <c r="K39" s="87">
        <v>0.39</v>
      </c>
      <c r="L39" s="109">
        <v>12.54</v>
      </c>
      <c r="M39" s="87">
        <v>3.75</v>
      </c>
      <c r="N39" s="87">
        <f aca="true" t="shared" si="32" ref="N39:N64">L39+M39</f>
        <v>16.29</v>
      </c>
      <c r="O39" s="13">
        <f aca="true" t="shared" si="33" ref="O39:O63">W39-U39-T39-S39-R39-Q39-P39-V39</f>
        <v>13112.261961722488</v>
      </c>
      <c r="P39" s="13">
        <v>517.91</v>
      </c>
      <c r="Q39" s="13">
        <f>F39*C39*6</f>
        <v>0</v>
      </c>
      <c r="R39" s="13">
        <f>W39/12.54*3.26</f>
        <v>6921.239968102072</v>
      </c>
      <c r="S39" s="13">
        <f>W39/12.54*1.08</f>
        <v>2292.926124401914</v>
      </c>
      <c r="T39" s="13">
        <f>W39/12.54*0.78</f>
        <v>1656.0022009569377</v>
      </c>
      <c r="U39" s="13">
        <f>W39/12.54*0.61</f>
        <v>1295.0786443381178</v>
      </c>
      <c r="V39" s="13">
        <f>W39/12.54*0.39</f>
        <v>828.0011004784689</v>
      </c>
      <c r="W39" s="13">
        <v>26623.42</v>
      </c>
      <c r="X39" s="13">
        <v>7980.9</v>
      </c>
      <c r="Y39" s="15">
        <f aca="true" t="shared" si="34" ref="Y39:Y65">W39+X39</f>
        <v>34604.32</v>
      </c>
      <c r="Z39" s="15">
        <f aca="true" t="shared" si="35" ref="Z39:Z64">AH39-AF39-AE39-AD39-AC39-AB39-AA39-AG39</f>
        <v>10571.785023923445</v>
      </c>
      <c r="AA39" s="13">
        <v>517.91</v>
      </c>
      <c r="AB39" s="15"/>
      <c r="AC39" s="13">
        <f>AH39/12.54*3.26</f>
        <v>5631.215853269538</v>
      </c>
      <c r="AD39" s="13">
        <f>AH39/12.54*1.08</f>
        <v>1865.5561722488042</v>
      </c>
      <c r="AE39" s="13">
        <f>AH39/12.54*0.78</f>
        <v>1347.346124401914</v>
      </c>
      <c r="AF39" s="13">
        <f>AH39/12.54*0.61</f>
        <v>1053.693763955343</v>
      </c>
      <c r="AG39" s="13">
        <f>AH39/12.54*0.39</f>
        <v>673.673062200957</v>
      </c>
      <c r="AH39" s="16">
        <v>21661.18</v>
      </c>
      <c r="AI39" s="4">
        <v>6567.38</v>
      </c>
      <c r="AJ39" s="15">
        <f aca="true" t="shared" si="36" ref="AJ39:AJ64">AH39+AI39</f>
        <v>28228.56</v>
      </c>
      <c r="AK39" s="21">
        <v>1544</v>
      </c>
      <c r="AL39" s="13">
        <v>517.91</v>
      </c>
      <c r="AM39" s="21">
        <f aca="true" t="shared" si="37" ref="AM39:AM64">Q39/1.05</f>
        <v>0</v>
      </c>
      <c r="AN39" s="21">
        <f aca="true" t="shared" si="38" ref="AN39:AN64">R39/1.05</f>
        <v>6591.657112478164</v>
      </c>
      <c r="AO39" s="21">
        <f aca="true" t="shared" si="39" ref="AO39:AO64">S39/1.05</f>
        <v>2183.7391660970607</v>
      </c>
      <c r="AP39" s="21">
        <f aca="true" t="shared" si="40" ref="AP39:AP64">T39/1.05</f>
        <v>1577.1449532923216</v>
      </c>
      <c r="AQ39" s="21">
        <f aca="true" t="shared" si="41" ref="AQ39:AQ64">U39/1.05</f>
        <v>1233.4082327029694</v>
      </c>
      <c r="AR39" s="21">
        <f aca="true" t="shared" si="42" ref="AR39:AR64">V39/1.05</f>
        <v>788.5724766461608</v>
      </c>
      <c r="AS39" s="22">
        <f aca="true" t="shared" si="43" ref="AS39:AS63">SUM(AK39:AQ39)+AR39</f>
        <v>14436.431941216677</v>
      </c>
      <c r="AT39" s="21">
        <f aca="true" t="shared" si="44" ref="AT39:AT64">X39/1.05</f>
        <v>7600.857142857142</v>
      </c>
      <c r="AU39" s="21">
        <f aca="true" t="shared" si="45" ref="AU39:AU65">AS39+AT39</f>
        <v>22037.28908407382</v>
      </c>
      <c r="AV39" s="79" t="s">
        <v>34</v>
      </c>
    </row>
    <row r="40" spans="1:48" ht="22.5" customHeight="1">
      <c r="A40" s="26">
        <v>32</v>
      </c>
      <c r="B40" s="9" t="s">
        <v>35</v>
      </c>
      <c r="C40" s="11">
        <v>735.11</v>
      </c>
      <c r="D40" s="86">
        <f t="shared" si="30"/>
        <v>6.119999546553122</v>
      </c>
      <c r="E40" s="87">
        <f t="shared" si="31"/>
        <v>0.3000004534468764</v>
      </c>
      <c r="F40" s="87"/>
      <c r="G40" s="87">
        <v>3.26</v>
      </c>
      <c r="H40" s="87">
        <v>1.08</v>
      </c>
      <c r="I40" s="87">
        <v>0.78</v>
      </c>
      <c r="J40" s="87">
        <v>0.61</v>
      </c>
      <c r="K40" s="87">
        <v>0.39</v>
      </c>
      <c r="L40" s="109">
        <v>12.54</v>
      </c>
      <c r="M40" s="87">
        <v>3.75</v>
      </c>
      <c r="N40" s="87">
        <f t="shared" si="32"/>
        <v>16.29</v>
      </c>
      <c r="O40" s="13">
        <f t="shared" si="33"/>
        <v>27065.302775119617</v>
      </c>
      <c r="P40" s="13">
        <v>1323.2</v>
      </c>
      <c r="Q40" s="13">
        <f>F40*C40*6</f>
        <v>0</v>
      </c>
      <c r="R40" s="13">
        <f>W40/12.54*3.26</f>
        <v>14415.345645933015</v>
      </c>
      <c r="S40" s="13">
        <f>W40/12.54*1.08</f>
        <v>4775.635980861245</v>
      </c>
      <c r="T40" s="13">
        <f>W40/12.54*0.78</f>
        <v>3449.07043062201</v>
      </c>
      <c r="U40" s="13">
        <f>W40/12.54*0.61</f>
        <v>2697.3499521531103</v>
      </c>
      <c r="V40" s="13">
        <f>W40/12.54*0.39</f>
        <v>1724.535215311005</v>
      </c>
      <c r="W40" s="13">
        <v>55450.44</v>
      </c>
      <c r="X40" s="13">
        <v>16582.49</v>
      </c>
      <c r="Y40" s="15">
        <f t="shared" si="34"/>
        <v>72032.93000000001</v>
      </c>
      <c r="Z40" s="15">
        <f t="shared" si="35"/>
        <v>25471.253636363635</v>
      </c>
      <c r="AA40" s="13">
        <v>1323.2</v>
      </c>
      <c r="AB40" s="15"/>
      <c r="AC40" s="13">
        <f>AH40/12.54*3.26</f>
        <v>13605.906363636366</v>
      </c>
      <c r="AD40" s="13">
        <f>AH40/12.54*1.08</f>
        <v>4507.478181818183</v>
      </c>
      <c r="AE40" s="13">
        <f>AH40/12.54*0.78</f>
        <v>3255.40090909091</v>
      </c>
      <c r="AF40" s="13">
        <f>AH40/12.54*0.61</f>
        <v>2545.890454545455</v>
      </c>
      <c r="AG40" s="13">
        <f>AH40/12.54*0.39</f>
        <v>1627.700454545455</v>
      </c>
      <c r="AH40" s="16">
        <v>52336.83</v>
      </c>
      <c r="AI40" s="4">
        <v>15804.91</v>
      </c>
      <c r="AJ40" s="15">
        <f t="shared" si="36"/>
        <v>68141.74</v>
      </c>
      <c r="AK40" s="21">
        <v>1786</v>
      </c>
      <c r="AL40" s="13">
        <v>1323.2</v>
      </c>
      <c r="AM40" s="21">
        <f t="shared" si="37"/>
        <v>0</v>
      </c>
      <c r="AN40" s="21">
        <f t="shared" si="38"/>
        <v>13728.9006151743</v>
      </c>
      <c r="AO40" s="21">
        <f t="shared" si="39"/>
        <v>4548.224743677376</v>
      </c>
      <c r="AP40" s="21">
        <f t="shared" si="40"/>
        <v>3284.8289815447715</v>
      </c>
      <c r="AQ40" s="21">
        <f t="shared" si="41"/>
        <v>2568.904716336295</v>
      </c>
      <c r="AR40" s="21">
        <f t="shared" si="42"/>
        <v>1642.4144907723858</v>
      </c>
      <c r="AS40" s="22">
        <f t="shared" si="43"/>
        <v>28882.473547505127</v>
      </c>
      <c r="AT40" s="21">
        <f t="shared" si="44"/>
        <v>15792.84761904762</v>
      </c>
      <c r="AU40" s="21">
        <f t="shared" si="45"/>
        <v>44675.32116655275</v>
      </c>
      <c r="AV40" s="79" t="s">
        <v>35</v>
      </c>
    </row>
    <row r="41" spans="1:48" ht="22.5" customHeight="1">
      <c r="A41" s="26">
        <v>33</v>
      </c>
      <c r="B41" s="9" t="s">
        <v>36</v>
      </c>
      <c r="C41" s="11">
        <v>861.35</v>
      </c>
      <c r="D41" s="86">
        <f t="shared" si="30"/>
        <v>6.119999999999998</v>
      </c>
      <c r="E41" s="87">
        <f t="shared" si="31"/>
        <v>0.3</v>
      </c>
      <c r="F41" s="87"/>
      <c r="G41" s="87">
        <v>3.26</v>
      </c>
      <c r="H41" s="87">
        <v>1.08</v>
      </c>
      <c r="I41" s="87">
        <v>0.78</v>
      </c>
      <c r="J41" s="87">
        <v>0.61</v>
      </c>
      <c r="K41" s="87">
        <v>0.39</v>
      </c>
      <c r="L41" s="109">
        <v>12.54</v>
      </c>
      <c r="M41" s="87">
        <v>3.75</v>
      </c>
      <c r="N41" s="87">
        <f t="shared" si="32"/>
        <v>16.29</v>
      </c>
      <c r="O41" s="13">
        <f t="shared" si="33"/>
        <v>31227.30492822966</v>
      </c>
      <c r="P41" s="13">
        <v>1550.43</v>
      </c>
      <c r="Q41" s="13">
        <f>F41*C41*6</f>
        <v>0</v>
      </c>
      <c r="R41" s="13">
        <f>W41/12.54*3.26</f>
        <v>16644.14577352472</v>
      </c>
      <c r="S41" s="13">
        <f>W41/12.54*1.08</f>
        <v>5514.011483253589</v>
      </c>
      <c r="T41" s="13">
        <f>W41/12.54*0.78</f>
        <v>3982.341626794259</v>
      </c>
      <c r="U41" s="13">
        <f>W41/12.54*0.61</f>
        <v>3114.3953748006384</v>
      </c>
      <c r="V41" s="13">
        <f>W41/12.54*0.39</f>
        <v>1991.1708133971295</v>
      </c>
      <c r="W41" s="13">
        <v>64023.8</v>
      </c>
      <c r="X41" s="13">
        <v>19146.16</v>
      </c>
      <c r="Y41" s="15">
        <f t="shared" si="34"/>
        <v>83169.96</v>
      </c>
      <c r="Z41" s="15">
        <f t="shared" si="35"/>
        <v>28796.32124401914</v>
      </c>
      <c r="AA41" s="13">
        <v>1550.43</v>
      </c>
      <c r="AB41" s="15"/>
      <c r="AC41" s="13">
        <f>AH41/12.54*3.26</f>
        <v>15409.721036682615</v>
      </c>
      <c r="AD41" s="13">
        <f>AH41/12.54*1.08</f>
        <v>5105.060956937799</v>
      </c>
      <c r="AE41" s="13">
        <f>AH41/12.54*0.78</f>
        <v>3686.9884688995216</v>
      </c>
      <c r="AF41" s="13">
        <f>AH41/12.54*0.61</f>
        <v>2883.414059011164</v>
      </c>
      <c r="AG41" s="13">
        <f>AH41/12.54*0.39</f>
        <v>1843.4942344497608</v>
      </c>
      <c r="AH41" s="16">
        <v>59275.43</v>
      </c>
      <c r="AI41" s="4">
        <v>17854.33</v>
      </c>
      <c r="AJ41" s="15">
        <f t="shared" si="36"/>
        <v>77129.76000000001</v>
      </c>
      <c r="AK41" s="21">
        <v>1866</v>
      </c>
      <c r="AL41" s="13">
        <v>1550.43</v>
      </c>
      <c r="AM41" s="21">
        <f t="shared" si="37"/>
        <v>0</v>
      </c>
      <c r="AN41" s="21">
        <f t="shared" si="38"/>
        <v>15851.567403356876</v>
      </c>
      <c r="AO41" s="21">
        <f t="shared" si="39"/>
        <v>5251.439507860561</v>
      </c>
      <c r="AP41" s="21">
        <f t="shared" si="40"/>
        <v>3792.7063112326273</v>
      </c>
      <c r="AQ41" s="21">
        <f t="shared" si="41"/>
        <v>2966.090833143465</v>
      </c>
      <c r="AR41" s="21">
        <f t="shared" si="42"/>
        <v>1896.3531556163136</v>
      </c>
      <c r="AS41" s="22">
        <f t="shared" si="43"/>
        <v>33174.587211209844</v>
      </c>
      <c r="AT41" s="21">
        <f t="shared" si="44"/>
        <v>18234.438095238096</v>
      </c>
      <c r="AU41" s="21">
        <f t="shared" si="45"/>
        <v>51409.02530644794</v>
      </c>
      <c r="AV41" s="79" t="s">
        <v>36</v>
      </c>
    </row>
    <row r="42" spans="1:48" ht="22.5" customHeight="1">
      <c r="A42" s="26">
        <v>34</v>
      </c>
      <c r="B42" s="9" t="s">
        <v>37</v>
      </c>
      <c r="C42" s="11">
        <v>288.26</v>
      </c>
      <c r="D42" s="86">
        <f t="shared" si="30"/>
        <v>6.119998843636531</v>
      </c>
      <c r="E42" s="87">
        <f t="shared" si="31"/>
        <v>0.3000011563634682</v>
      </c>
      <c r="F42" s="87"/>
      <c r="G42" s="87">
        <v>3.26</v>
      </c>
      <c r="H42" s="87">
        <v>1.08</v>
      </c>
      <c r="I42" s="87">
        <v>0.78</v>
      </c>
      <c r="J42" s="87">
        <v>0.61</v>
      </c>
      <c r="K42" s="87">
        <v>0.39</v>
      </c>
      <c r="L42" s="109">
        <v>12.54</v>
      </c>
      <c r="M42" s="87">
        <v>3.75</v>
      </c>
      <c r="N42" s="87">
        <f t="shared" si="32"/>
        <v>16.29</v>
      </c>
      <c r="O42" s="13">
        <f t="shared" si="33"/>
        <v>10584.903971291867</v>
      </c>
      <c r="P42" s="13">
        <v>518.87</v>
      </c>
      <c r="Q42" s="13">
        <f>F42*C42*6</f>
        <v>0</v>
      </c>
      <c r="R42" s="13">
        <f>W42/12.54*3.26</f>
        <v>5638.364976076555</v>
      </c>
      <c r="S42" s="13">
        <f>W42/12.54*1.08</f>
        <v>1867.9245933014356</v>
      </c>
      <c r="T42" s="13">
        <f>W42/12.54*0.78</f>
        <v>1349.0566507177034</v>
      </c>
      <c r="U42" s="13">
        <f>W42/12.54*0.61</f>
        <v>1055.0314832535885</v>
      </c>
      <c r="V42" s="13">
        <f>W42/12.54*0.39</f>
        <v>674.5283253588517</v>
      </c>
      <c r="W42" s="13">
        <v>21688.68</v>
      </c>
      <c r="X42" s="13">
        <v>6485.94</v>
      </c>
      <c r="Y42" s="15">
        <f t="shared" si="34"/>
        <v>28174.62</v>
      </c>
      <c r="Z42" s="15">
        <f t="shared" si="35"/>
        <v>10089.422296650717</v>
      </c>
      <c r="AA42" s="13">
        <v>518.87</v>
      </c>
      <c r="AB42" s="15"/>
      <c r="AC42" s="13">
        <f>AH42/12.54*3.26</f>
        <v>5386.765247208931</v>
      </c>
      <c r="AD42" s="13">
        <f>AH42/12.54*1.08</f>
        <v>1784.5725358851676</v>
      </c>
      <c r="AE42" s="13">
        <f>AH42/12.54*0.78</f>
        <v>1288.857942583732</v>
      </c>
      <c r="AF42" s="13">
        <f>AH42/12.54*0.61</f>
        <v>1007.9530063795853</v>
      </c>
      <c r="AG42" s="13">
        <f>AH42/12.54*0.39</f>
        <v>644.428971291866</v>
      </c>
      <c r="AH42" s="16">
        <v>20720.87</v>
      </c>
      <c r="AI42" s="4">
        <v>6222.89</v>
      </c>
      <c r="AJ42" s="15">
        <f t="shared" si="36"/>
        <v>26943.76</v>
      </c>
      <c r="AK42" s="21">
        <v>2201</v>
      </c>
      <c r="AL42" s="13">
        <v>518.87</v>
      </c>
      <c r="AM42" s="21">
        <f t="shared" si="37"/>
        <v>0</v>
      </c>
      <c r="AN42" s="21">
        <f t="shared" si="38"/>
        <v>5369.871405787195</v>
      </c>
      <c r="AO42" s="21">
        <f t="shared" si="39"/>
        <v>1778.9758031442243</v>
      </c>
      <c r="AP42" s="21">
        <f t="shared" si="40"/>
        <v>1284.8158578263842</v>
      </c>
      <c r="AQ42" s="21">
        <f t="shared" si="41"/>
        <v>1004.7918888129414</v>
      </c>
      <c r="AR42" s="21">
        <f t="shared" si="42"/>
        <v>642.4079289131921</v>
      </c>
      <c r="AS42" s="22">
        <f t="shared" si="43"/>
        <v>12800.732884483936</v>
      </c>
      <c r="AT42" s="21">
        <f t="shared" si="44"/>
        <v>6177.085714285714</v>
      </c>
      <c r="AU42" s="21">
        <f t="shared" si="45"/>
        <v>18977.81859876965</v>
      </c>
      <c r="AV42" s="79" t="s">
        <v>37</v>
      </c>
    </row>
    <row r="43" spans="1:48" ht="22.5" customHeight="1" thickBot="1">
      <c r="A43" s="26">
        <v>35</v>
      </c>
      <c r="B43" s="9" t="s">
        <v>38</v>
      </c>
      <c r="C43" s="11">
        <v>138.67</v>
      </c>
      <c r="D43" s="86">
        <f t="shared" si="30"/>
        <v>6.119995192423258</v>
      </c>
      <c r="E43" s="87">
        <f t="shared" si="31"/>
        <v>0.300004807576741</v>
      </c>
      <c r="F43" s="87"/>
      <c r="G43" s="87">
        <v>3.26</v>
      </c>
      <c r="H43" s="87">
        <v>1.08</v>
      </c>
      <c r="I43" s="87">
        <v>0.78</v>
      </c>
      <c r="J43" s="87">
        <v>0.61</v>
      </c>
      <c r="K43" s="87">
        <v>0.39</v>
      </c>
      <c r="L43" s="109">
        <v>12.54</v>
      </c>
      <c r="M43" s="87">
        <v>3.75</v>
      </c>
      <c r="N43" s="87">
        <f t="shared" si="32"/>
        <v>16.29</v>
      </c>
      <c r="O43" s="13">
        <f t="shared" si="33"/>
        <v>5091.983588516748</v>
      </c>
      <c r="P43" s="13">
        <v>249.61</v>
      </c>
      <c r="Q43" s="13">
        <f>F43*C43*6</f>
        <v>0</v>
      </c>
      <c r="R43" s="13">
        <f>W43/12.54*3.26</f>
        <v>2712.397990430622</v>
      </c>
      <c r="S43" s="13">
        <f>W43/12.54*1.08</f>
        <v>898.5858373205743</v>
      </c>
      <c r="T43" s="13">
        <f>W43/12.54*0.78</f>
        <v>648.9786602870814</v>
      </c>
      <c r="U43" s="13">
        <f>W43/12.54*0.61</f>
        <v>507.53459330143545</v>
      </c>
      <c r="V43" s="13">
        <f>W43/12.54*0.39</f>
        <v>324.4893301435407</v>
      </c>
      <c r="W43" s="13">
        <v>10433.58</v>
      </c>
      <c r="X43" s="13">
        <v>3120.18</v>
      </c>
      <c r="Y43" s="15">
        <f t="shared" si="34"/>
        <v>13553.76</v>
      </c>
      <c r="Z43" s="15">
        <f t="shared" si="35"/>
        <v>4252.806650717704</v>
      </c>
      <c r="AA43" s="13">
        <v>249.61</v>
      </c>
      <c r="AB43" s="15"/>
      <c r="AC43" s="13">
        <f>AH43/12.54*3.26</f>
        <v>2286.2738755980863</v>
      </c>
      <c r="AD43" s="13">
        <f>AH43/12.54*1.08</f>
        <v>757.4158851674642</v>
      </c>
      <c r="AE43" s="13">
        <f>AH43/12.54*0.78</f>
        <v>547.0225837320575</v>
      </c>
      <c r="AF43" s="13">
        <f>AH43/12.54*0.61</f>
        <v>427.79971291866036</v>
      </c>
      <c r="AG43" s="13">
        <f>AH43/12.54*0.39</f>
        <v>273.5112918660287</v>
      </c>
      <c r="AH43" s="16">
        <v>8794.44</v>
      </c>
      <c r="AI43" s="4">
        <v>3301.86</v>
      </c>
      <c r="AJ43" s="15">
        <f t="shared" si="36"/>
        <v>12096.300000000001</v>
      </c>
      <c r="AK43" s="21"/>
      <c r="AL43" s="13">
        <v>249.61</v>
      </c>
      <c r="AM43" s="21">
        <f t="shared" si="37"/>
        <v>0</v>
      </c>
      <c r="AN43" s="21">
        <f t="shared" si="38"/>
        <v>2583.236181362497</v>
      </c>
      <c r="AO43" s="21">
        <f t="shared" si="39"/>
        <v>855.7960355434041</v>
      </c>
      <c r="AP43" s="21">
        <f t="shared" si="40"/>
        <v>618.0749145591251</v>
      </c>
      <c r="AQ43" s="21">
        <f t="shared" si="41"/>
        <v>483.3662793347004</v>
      </c>
      <c r="AR43" s="21">
        <f t="shared" si="42"/>
        <v>309.03745727956255</v>
      </c>
      <c r="AS43" s="22">
        <f t="shared" si="43"/>
        <v>5099.12086807929</v>
      </c>
      <c r="AT43" s="21">
        <f t="shared" si="44"/>
        <v>2971.6</v>
      </c>
      <c r="AU43" s="21">
        <f t="shared" si="45"/>
        <v>8070.72086807929</v>
      </c>
      <c r="AV43" s="79" t="s">
        <v>38</v>
      </c>
    </row>
    <row r="44" spans="1:48" s="137" customFormat="1" ht="22.5" customHeight="1" thickBot="1">
      <c r="A44" s="26">
        <v>36</v>
      </c>
      <c r="B44" s="149" t="s">
        <v>39</v>
      </c>
      <c r="C44" s="150">
        <v>638.1</v>
      </c>
      <c r="D44" s="86">
        <f t="shared" si="30"/>
        <v>1.0099999999999998</v>
      </c>
      <c r="E44" s="87">
        <f t="shared" si="31"/>
        <v>0.3</v>
      </c>
      <c r="F44" s="151">
        <v>7.55</v>
      </c>
      <c r="G44" s="152">
        <v>3.26</v>
      </c>
      <c r="H44" s="152">
        <v>1.08</v>
      </c>
      <c r="I44" s="152">
        <v>0.78</v>
      </c>
      <c r="J44" s="152">
        <v>0.61</v>
      </c>
      <c r="K44" s="152">
        <v>0.39</v>
      </c>
      <c r="L44" s="153">
        <v>14.98</v>
      </c>
      <c r="M44" s="152">
        <v>3.75</v>
      </c>
      <c r="N44" s="152">
        <f t="shared" si="32"/>
        <v>18.73</v>
      </c>
      <c r="O44" s="13">
        <f t="shared" si="33"/>
        <v>3866.8818024032025</v>
      </c>
      <c r="P44" s="154">
        <v>1148.58</v>
      </c>
      <c r="Q44" s="154">
        <f>W44/14.98*7.55</f>
        <v>28905.905807743657</v>
      </c>
      <c r="R44" s="154">
        <f>W44/14.98*3.26</f>
        <v>12481.225554072094</v>
      </c>
      <c r="S44" s="154">
        <f>W44/14.98*1.08</f>
        <v>4134.884539385848</v>
      </c>
      <c r="T44" s="154">
        <f>W44/14.98*0.78</f>
        <v>2986.3055006675568</v>
      </c>
      <c r="U44" s="154">
        <f>W44/14.98*0.61</f>
        <v>2335.4440453938582</v>
      </c>
      <c r="V44" s="154">
        <f>W44/14.98*0.39</f>
        <v>1493.1527503337784</v>
      </c>
      <c r="W44" s="154">
        <v>57352.38</v>
      </c>
      <c r="X44" s="154">
        <v>14357.58</v>
      </c>
      <c r="Y44" s="113">
        <f t="shared" si="34"/>
        <v>71709.95999999999</v>
      </c>
      <c r="Z44" s="15">
        <f t="shared" si="35"/>
        <v>2722.6772563417826</v>
      </c>
      <c r="AA44" s="154">
        <v>1148.58</v>
      </c>
      <c r="AB44" s="154">
        <f>AH44/14.98*7.55</f>
        <v>22311.444492656876</v>
      </c>
      <c r="AC44" s="154">
        <f>AH44/14.98*3.26</f>
        <v>9633.815767690252</v>
      </c>
      <c r="AD44" s="154">
        <f>AH44/14.98*1.08</f>
        <v>3191.570867823765</v>
      </c>
      <c r="AE44" s="154">
        <f>AH44/14.98*0.78</f>
        <v>2305.023404539386</v>
      </c>
      <c r="AF44" s="154">
        <f>AH44/14.98*0.61</f>
        <v>1802.6465086782375</v>
      </c>
      <c r="AG44" s="154">
        <f>AH44/14.98*0.39</f>
        <v>1152.511702269693</v>
      </c>
      <c r="AH44" s="155">
        <v>44268.27</v>
      </c>
      <c r="AI44" s="156">
        <v>11659.46</v>
      </c>
      <c r="AJ44" s="113">
        <f t="shared" si="36"/>
        <v>55927.729999999996</v>
      </c>
      <c r="AK44" s="157">
        <v>6205.3</v>
      </c>
      <c r="AL44" s="154">
        <v>1148.58</v>
      </c>
      <c r="AM44" s="157">
        <f t="shared" si="37"/>
        <v>27529.434102613006</v>
      </c>
      <c r="AN44" s="157">
        <f t="shared" si="38"/>
        <v>11886.881480068661</v>
      </c>
      <c r="AO44" s="157">
        <f t="shared" si="39"/>
        <v>3937.9852756055698</v>
      </c>
      <c r="AP44" s="157">
        <f t="shared" si="40"/>
        <v>2844.1004768262446</v>
      </c>
      <c r="AQ44" s="157">
        <f t="shared" si="41"/>
        <v>2224.232424184627</v>
      </c>
      <c r="AR44" s="157">
        <f t="shared" si="42"/>
        <v>1422.0502384131223</v>
      </c>
      <c r="AS44" s="158">
        <f t="shared" si="43"/>
        <v>57198.56399771123</v>
      </c>
      <c r="AT44" s="157">
        <f t="shared" si="44"/>
        <v>13673.885714285714</v>
      </c>
      <c r="AU44" s="157">
        <f t="shared" si="45"/>
        <v>70872.44971199695</v>
      </c>
      <c r="AV44" s="159" t="s">
        <v>39</v>
      </c>
    </row>
    <row r="45" spans="1:48" s="137" customFormat="1" ht="22.5" customHeight="1" thickBot="1">
      <c r="A45" s="26">
        <v>37</v>
      </c>
      <c r="B45" s="149" t="s">
        <v>40</v>
      </c>
      <c r="C45" s="160">
        <v>647.2</v>
      </c>
      <c r="D45" s="86">
        <f t="shared" si="30"/>
        <v>1.0099999999999998</v>
      </c>
      <c r="E45" s="87">
        <f t="shared" si="31"/>
        <v>0.3</v>
      </c>
      <c r="F45" s="219">
        <v>7.55</v>
      </c>
      <c r="G45" s="152">
        <v>3.26</v>
      </c>
      <c r="H45" s="152">
        <v>1.08</v>
      </c>
      <c r="I45" s="152">
        <v>0.78</v>
      </c>
      <c r="J45" s="152">
        <v>0.61</v>
      </c>
      <c r="K45" s="152">
        <v>0.39</v>
      </c>
      <c r="L45" s="153">
        <v>14.98</v>
      </c>
      <c r="M45" s="152">
        <v>3.75</v>
      </c>
      <c r="N45" s="152">
        <f t="shared" si="32"/>
        <v>18.73</v>
      </c>
      <c r="O45" s="13">
        <f t="shared" si="33"/>
        <v>3922.0393457943974</v>
      </c>
      <c r="P45" s="154">
        <v>1164.96</v>
      </c>
      <c r="Q45" s="154">
        <f>W45/14.98*7.55</f>
        <v>29318.202336448594</v>
      </c>
      <c r="R45" s="154">
        <f>W45/14.98*3.26</f>
        <v>12659.25028037383</v>
      </c>
      <c r="S45" s="154">
        <f>W45/14.98*1.08</f>
        <v>4193.862056074766</v>
      </c>
      <c r="T45" s="154">
        <f>W45/14.98*0.78</f>
        <v>3028.9003738317756</v>
      </c>
      <c r="U45" s="154">
        <f>W45/14.98*0.61</f>
        <v>2368.7554205607476</v>
      </c>
      <c r="V45" s="154">
        <f>W45/14.98*0.39</f>
        <v>1514.4501869158878</v>
      </c>
      <c r="W45" s="154">
        <v>58170.42</v>
      </c>
      <c r="X45" s="154">
        <v>14562.24</v>
      </c>
      <c r="Y45" s="113">
        <f t="shared" si="34"/>
        <v>72732.66</v>
      </c>
      <c r="Z45" s="15">
        <f t="shared" si="35"/>
        <v>3659.1289919893206</v>
      </c>
      <c r="AA45" s="154">
        <v>1164.96</v>
      </c>
      <c r="AB45" s="154">
        <f>AH45/14.98*7.55</f>
        <v>27802.95564085447</v>
      </c>
      <c r="AC45" s="154">
        <f>AH45/14.98*3.26</f>
        <v>12004.984819759678</v>
      </c>
      <c r="AD45" s="154">
        <f>AH45/14.98*1.08</f>
        <v>3977.1115353805076</v>
      </c>
      <c r="AE45" s="154">
        <f>AH45/14.98*0.78</f>
        <v>2872.3583311081443</v>
      </c>
      <c r="AF45" s="154">
        <f>AH45/14.98*0.61</f>
        <v>2246.331515353805</v>
      </c>
      <c r="AG45" s="154">
        <f>AH45/14.98*0.39</f>
        <v>1436.1791655540721</v>
      </c>
      <c r="AH45" s="155">
        <v>55164.01</v>
      </c>
      <c r="AI45" s="156">
        <v>13845.65</v>
      </c>
      <c r="AJ45" s="113">
        <f t="shared" si="36"/>
        <v>69009.66</v>
      </c>
      <c r="AK45" s="157"/>
      <c r="AL45" s="154">
        <v>1164.96</v>
      </c>
      <c r="AM45" s="157">
        <f t="shared" si="37"/>
        <v>27922.097463284375</v>
      </c>
      <c r="AN45" s="157">
        <f t="shared" si="38"/>
        <v>12056.428838451266</v>
      </c>
      <c r="AO45" s="157">
        <f t="shared" si="39"/>
        <v>3994.1543391188243</v>
      </c>
      <c r="AP45" s="157">
        <f t="shared" si="40"/>
        <v>2884.667022696929</v>
      </c>
      <c r="AQ45" s="157">
        <f t="shared" si="41"/>
        <v>2255.957543391188</v>
      </c>
      <c r="AR45" s="157">
        <f t="shared" si="42"/>
        <v>1442.3335113484645</v>
      </c>
      <c r="AS45" s="158">
        <f t="shared" si="43"/>
        <v>51720.59871829105</v>
      </c>
      <c r="AT45" s="157">
        <f t="shared" si="44"/>
        <v>13868.8</v>
      </c>
      <c r="AU45" s="157">
        <f t="shared" si="45"/>
        <v>65589.39871829105</v>
      </c>
      <c r="AV45" s="159" t="s">
        <v>40</v>
      </c>
    </row>
    <row r="46" spans="1:48" ht="22.5" customHeight="1" thickBot="1">
      <c r="A46" s="26">
        <v>38</v>
      </c>
      <c r="B46" s="10" t="s">
        <v>41</v>
      </c>
      <c r="C46" s="11">
        <v>711.53</v>
      </c>
      <c r="D46" s="86">
        <f t="shared" si="30"/>
        <v>6.120000936948078</v>
      </c>
      <c r="E46" s="87">
        <f t="shared" si="31"/>
        <v>0.299999063051921</v>
      </c>
      <c r="F46" s="87"/>
      <c r="G46" s="87">
        <v>3.26</v>
      </c>
      <c r="H46" s="87">
        <v>1.08</v>
      </c>
      <c r="I46" s="87">
        <v>0.78</v>
      </c>
      <c r="J46" s="87">
        <v>0.61</v>
      </c>
      <c r="K46" s="87">
        <v>0.39</v>
      </c>
      <c r="L46" s="109">
        <v>12.54</v>
      </c>
      <c r="M46" s="87">
        <v>3.75</v>
      </c>
      <c r="N46" s="87">
        <f t="shared" si="32"/>
        <v>16.29</v>
      </c>
      <c r="O46" s="13">
        <f t="shared" si="33"/>
        <v>26169.756985645927</v>
      </c>
      <c r="P46" s="13">
        <v>1280.75</v>
      </c>
      <c r="Q46" s="13">
        <f>F46*C46*6</f>
        <v>0</v>
      </c>
      <c r="R46" s="13">
        <f>W46/12.54*3.26</f>
        <v>13939.042488038278</v>
      </c>
      <c r="S46" s="13">
        <f>W46/12.54*1.08</f>
        <v>4617.842296650719</v>
      </c>
      <c r="T46" s="13">
        <f>W46/12.54*0.78</f>
        <v>3335.108325358852</v>
      </c>
      <c r="U46" s="13">
        <f>W46/12.54*0.61</f>
        <v>2608.2257416267944</v>
      </c>
      <c r="V46" s="13">
        <f>W46/12.54*0.39</f>
        <v>1667.554162679426</v>
      </c>
      <c r="W46" s="13">
        <v>53618.28</v>
      </c>
      <c r="X46" s="13">
        <v>16034.34</v>
      </c>
      <c r="Y46" s="15">
        <f t="shared" si="34"/>
        <v>69652.62</v>
      </c>
      <c r="Z46" s="15">
        <f t="shared" si="35"/>
        <v>23518.34306220096</v>
      </c>
      <c r="AA46" s="13">
        <v>1280.75</v>
      </c>
      <c r="AB46" s="13"/>
      <c r="AC46" s="13">
        <f>AH46/12.54*3.26</f>
        <v>12592.685885167464</v>
      </c>
      <c r="AD46" s="13">
        <f>AH46/12.54*1.08</f>
        <v>4171.8100478468905</v>
      </c>
      <c r="AE46" s="13">
        <f>AH46/12.54*0.78</f>
        <v>3012.973923444976</v>
      </c>
      <c r="AF46" s="13">
        <f>AH46/12.54*0.61</f>
        <v>2356.300119617225</v>
      </c>
      <c r="AG46" s="13">
        <f>AH46/12.54*0.39</f>
        <v>1506.486961722488</v>
      </c>
      <c r="AH46" s="16">
        <v>48439.35</v>
      </c>
      <c r="AI46" s="4">
        <v>14341.35</v>
      </c>
      <c r="AJ46" s="15">
        <f t="shared" si="36"/>
        <v>62780.7</v>
      </c>
      <c r="AK46" s="21">
        <v>2798</v>
      </c>
      <c r="AL46" s="13">
        <v>1280.75</v>
      </c>
      <c r="AM46" s="21">
        <f t="shared" si="37"/>
        <v>0</v>
      </c>
      <c r="AN46" s="21">
        <f t="shared" si="38"/>
        <v>13275.278560036455</v>
      </c>
      <c r="AO46" s="21">
        <f t="shared" si="39"/>
        <v>4397.945044429256</v>
      </c>
      <c r="AP46" s="21">
        <f t="shared" si="40"/>
        <v>3176.293643198907</v>
      </c>
      <c r="AQ46" s="21">
        <f t="shared" si="41"/>
        <v>2484.024515835042</v>
      </c>
      <c r="AR46" s="21">
        <f t="shared" si="42"/>
        <v>1588.1468215994535</v>
      </c>
      <c r="AS46" s="22">
        <f t="shared" si="43"/>
        <v>29000.438585099113</v>
      </c>
      <c r="AT46" s="21">
        <f t="shared" si="44"/>
        <v>15270.8</v>
      </c>
      <c r="AU46" s="21">
        <f t="shared" si="45"/>
        <v>44271.23858509911</v>
      </c>
      <c r="AV46" s="80" t="s">
        <v>41</v>
      </c>
    </row>
    <row r="47" spans="1:48" s="137" customFormat="1" ht="22.5" customHeight="1" thickBot="1">
      <c r="A47" s="26">
        <v>39</v>
      </c>
      <c r="B47" s="149" t="s">
        <v>42</v>
      </c>
      <c r="C47" s="160">
        <v>742.1</v>
      </c>
      <c r="D47" s="86">
        <f t="shared" si="30"/>
        <v>1.0099999999999998</v>
      </c>
      <c r="E47" s="87">
        <f t="shared" si="31"/>
        <v>0.3</v>
      </c>
      <c r="F47" s="151">
        <v>7.55</v>
      </c>
      <c r="G47" s="152">
        <v>3.26</v>
      </c>
      <c r="H47" s="152">
        <v>1.08</v>
      </c>
      <c r="I47" s="152">
        <v>0.78</v>
      </c>
      <c r="J47" s="152">
        <v>0.61</v>
      </c>
      <c r="K47" s="152">
        <v>0.39</v>
      </c>
      <c r="L47" s="153">
        <v>14.98</v>
      </c>
      <c r="M47" s="152">
        <v>3.75</v>
      </c>
      <c r="N47" s="152">
        <f t="shared" si="32"/>
        <v>18.73</v>
      </c>
      <c r="O47" s="13">
        <f t="shared" si="33"/>
        <v>4497.1270493992115</v>
      </c>
      <c r="P47" s="154">
        <v>1335.78</v>
      </c>
      <c r="Q47" s="154">
        <f>W47/14.98*7.55</f>
        <v>33617.13604806409</v>
      </c>
      <c r="R47" s="154">
        <f>W47/14.98*3.26</f>
        <v>14515.478611481974</v>
      </c>
      <c r="S47" s="154">
        <f>W47/14.98*1.08</f>
        <v>4808.808865153538</v>
      </c>
      <c r="T47" s="154">
        <f>W47/14.98*0.78</f>
        <v>3473.028624833111</v>
      </c>
      <c r="U47" s="154">
        <f>W47/14.98*0.61</f>
        <v>2716.086488651535</v>
      </c>
      <c r="V47" s="154">
        <f>W47/14.98*0.39</f>
        <v>1736.5143124165554</v>
      </c>
      <c r="W47" s="154">
        <v>66699.96</v>
      </c>
      <c r="X47" s="154">
        <v>16697.64</v>
      </c>
      <c r="Y47" s="113">
        <f t="shared" si="34"/>
        <v>83397.6</v>
      </c>
      <c r="Z47" s="15">
        <f t="shared" si="35"/>
        <v>3870.2955473965308</v>
      </c>
      <c r="AA47" s="154">
        <v>1335.78</v>
      </c>
      <c r="AB47" s="154">
        <f>AH47/14.98*7.55</f>
        <v>30004.481208277703</v>
      </c>
      <c r="AC47" s="154">
        <f>AH47/14.98*3.26</f>
        <v>12955.577316421895</v>
      </c>
      <c r="AD47" s="154">
        <f>AH47/14.98*1.08</f>
        <v>4292.031748998665</v>
      </c>
      <c r="AE47" s="154">
        <f>AH47/14.98*0.78</f>
        <v>3099.8007076101467</v>
      </c>
      <c r="AF47" s="154">
        <f>AH47/14.98*0.61</f>
        <v>2424.2031174899867</v>
      </c>
      <c r="AG47" s="154">
        <f>AH47/14.98*0.39</f>
        <v>1549.9003538050733</v>
      </c>
      <c r="AH47" s="155">
        <v>59532.07</v>
      </c>
      <c r="AI47" s="156">
        <v>14427.47</v>
      </c>
      <c r="AJ47" s="113">
        <f t="shared" si="36"/>
        <v>73959.54</v>
      </c>
      <c r="AK47" s="157">
        <v>3352</v>
      </c>
      <c r="AL47" s="154">
        <v>1335.78</v>
      </c>
      <c r="AM47" s="157">
        <f t="shared" si="37"/>
        <v>32016.32004577532</v>
      </c>
      <c r="AN47" s="157">
        <f t="shared" si="38"/>
        <v>13824.265344268546</v>
      </c>
      <c r="AO47" s="157">
        <f t="shared" si="39"/>
        <v>4579.817966812893</v>
      </c>
      <c r="AP47" s="157">
        <f t="shared" si="40"/>
        <v>3307.646309364867</v>
      </c>
      <c r="AQ47" s="157">
        <f t="shared" si="41"/>
        <v>2586.7490368109857</v>
      </c>
      <c r="AR47" s="157">
        <f t="shared" si="42"/>
        <v>1653.8231546824336</v>
      </c>
      <c r="AS47" s="158">
        <f t="shared" si="43"/>
        <v>62656.40185771505</v>
      </c>
      <c r="AT47" s="157">
        <f t="shared" si="44"/>
        <v>15902.514285714284</v>
      </c>
      <c r="AU47" s="157">
        <f t="shared" si="45"/>
        <v>78558.91614342933</v>
      </c>
      <c r="AV47" s="159" t="s">
        <v>42</v>
      </c>
    </row>
    <row r="48" spans="1:48" s="137" customFormat="1" ht="22.5" customHeight="1" thickBot="1">
      <c r="A48" s="26">
        <v>40</v>
      </c>
      <c r="B48" s="149" t="s">
        <v>88</v>
      </c>
      <c r="C48" s="160">
        <v>742.31</v>
      </c>
      <c r="D48" s="86">
        <f t="shared" si="30"/>
        <v>1.0099793437602447</v>
      </c>
      <c r="E48" s="87">
        <f t="shared" si="31"/>
        <v>0.3000206562397561</v>
      </c>
      <c r="F48" s="219">
        <v>7.55</v>
      </c>
      <c r="G48" s="152">
        <v>3.26</v>
      </c>
      <c r="H48" s="152">
        <v>1.08</v>
      </c>
      <c r="I48" s="152">
        <v>0.78</v>
      </c>
      <c r="J48" s="152">
        <v>0.61</v>
      </c>
      <c r="K48" s="152">
        <v>0.39</v>
      </c>
      <c r="L48" s="153">
        <v>14.98</v>
      </c>
      <c r="M48" s="152">
        <v>3.75</v>
      </c>
      <c r="N48" s="152">
        <f t="shared" si="32"/>
        <v>18.73</v>
      </c>
      <c r="O48" s="13">
        <f t="shared" si="33"/>
        <v>4498.299359145536</v>
      </c>
      <c r="P48" s="154">
        <v>1336.25</v>
      </c>
      <c r="Q48" s="154">
        <f>W48/14.98*7.55</f>
        <v>33626.60126835781</v>
      </c>
      <c r="R48" s="154">
        <f>W48/14.98*3.26</f>
        <v>14519.565580774364</v>
      </c>
      <c r="S48" s="154">
        <f>W48/14.98*1.08</f>
        <v>4810.162830440588</v>
      </c>
      <c r="T48" s="154">
        <f>W48/14.98*0.78</f>
        <v>3474.006488651535</v>
      </c>
      <c r="U48" s="154">
        <f>W48/14.98*0.61</f>
        <v>2716.8512283044056</v>
      </c>
      <c r="V48" s="154">
        <f>W48/14.98*0.39</f>
        <v>1737.0032443257676</v>
      </c>
      <c r="W48" s="154">
        <v>66718.74</v>
      </c>
      <c r="X48" s="154">
        <v>16702.2</v>
      </c>
      <c r="Y48" s="113">
        <f t="shared" si="34"/>
        <v>83420.94</v>
      </c>
      <c r="Z48" s="15">
        <f t="shared" si="35"/>
        <v>4224.700874499346</v>
      </c>
      <c r="AA48" s="154">
        <v>1336.25</v>
      </c>
      <c r="AB48" s="154">
        <f>AH48/14.98*7.55</f>
        <v>32049.755040053402</v>
      </c>
      <c r="AC48" s="154">
        <f>AH48/14.98*3.26</f>
        <v>13838.702176234978</v>
      </c>
      <c r="AD48" s="154">
        <f>AH48/14.98*1.08</f>
        <v>4584.600720961282</v>
      </c>
      <c r="AE48" s="154">
        <f>AH48/14.98*0.78</f>
        <v>3311.1005206942586</v>
      </c>
      <c r="AF48" s="154">
        <f>AH48/14.98*0.61</f>
        <v>2589.4504072096124</v>
      </c>
      <c r="AG48" s="154">
        <f>AH48/14.98*0.39</f>
        <v>1655.5502603471293</v>
      </c>
      <c r="AH48" s="155">
        <v>63590.11</v>
      </c>
      <c r="AI48" s="156">
        <v>15912.07</v>
      </c>
      <c r="AJ48" s="113">
        <f t="shared" si="36"/>
        <v>79502.18</v>
      </c>
      <c r="AK48" s="157">
        <v>54798.4</v>
      </c>
      <c r="AL48" s="154">
        <v>1336.25</v>
      </c>
      <c r="AM48" s="157">
        <f t="shared" si="37"/>
        <v>32025.33454129315</v>
      </c>
      <c r="AN48" s="157">
        <f t="shared" si="38"/>
        <v>13828.157695975584</v>
      </c>
      <c r="AO48" s="157">
        <f t="shared" si="39"/>
        <v>4581.107457562464</v>
      </c>
      <c r="AP48" s="157">
        <f t="shared" si="40"/>
        <v>3308.5776082395573</v>
      </c>
      <c r="AQ48" s="157">
        <f t="shared" si="41"/>
        <v>2587.47736028991</v>
      </c>
      <c r="AR48" s="157">
        <f t="shared" si="42"/>
        <v>1654.2888041197787</v>
      </c>
      <c r="AS48" s="158">
        <f t="shared" si="43"/>
        <v>114119.59346748044</v>
      </c>
      <c r="AT48" s="157">
        <f t="shared" si="44"/>
        <v>15906.857142857143</v>
      </c>
      <c r="AU48" s="157">
        <f t="shared" si="45"/>
        <v>130026.45061033759</v>
      </c>
      <c r="AV48" s="159" t="s">
        <v>96</v>
      </c>
    </row>
    <row r="49" spans="1:48" ht="22.5" customHeight="1">
      <c r="A49" s="26">
        <v>41</v>
      </c>
      <c r="B49" s="9" t="s">
        <v>43</v>
      </c>
      <c r="C49" s="11">
        <v>751.4</v>
      </c>
      <c r="D49" s="86">
        <f t="shared" si="30"/>
        <v>6.119999999999998</v>
      </c>
      <c r="E49" s="87">
        <f t="shared" si="31"/>
        <v>0.3</v>
      </c>
      <c r="F49" s="87"/>
      <c r="G49" s="87">
        <v>3.26</v>
      </c>
      <c r="H49" s="87">
        <v>1.08</v>
      </c>
      <c r="I49" s="87">
        <v>0.78</v>
      </c>
      <c r="J49" s="87">
        <v>0.61</v>
      </c>
      <c r="K49" s="87">
        <v>0.39</v>
      </c>
      <c r="L49" s="109">
        <v>12.54</v>
      </c>
      <c r="M49" s="87">
        <v>3.75</v>
      </c>
      <c r="N49" s="87">
        <f t="shared" si="32"/>
        <v>16.29</v>
      </c>
      <c r="O49" s="13">
        <f t="shared" si="33"/>
        <v>27591.420287081335</v>
      </c>
      <c r="P49" s="13">
        <v>1352.52</v>
      </c>
      <c r="Q49" s="13">
        <f aca="true" t="shared" si="46" ref="Q49:Q58">F49*C49*6</f>
        <v>0</v>
      </c>
      <c r="R49" s="13">
        <f aca="true" t="shared" si="47" ref="R49:R64">W49/12.54*3.26</f>
        <v>14697.39023923445</v>
      </c>
      <c r="S49" s="13">
        <f aca="true" t="shared" si="48" ref="S49:S64">W49/12.54*1.08</f>
        <v>4869.074066985647</v>
      </c>
      <c r="T49" s="13">
        <f aca="true" t="shared" si="49" ref="T49:T64">W49/12.54*0.78</f>
        <v>3516.5534928229667</v>
      </c>
      <c r="U49" s="13">
        <f aca="true" t="shared" si="50" ref="U49:U64">W49/12.54*0.61</f>
        <v>2750.125167464115</v>
      </c>
      <c r="V49" s="13">
        <f aca="true" t="shared" si="51" ref="V49:V64">W49/12.54*0.39</f>
        <v>1758.2767464114834</v>
      </c>
      <c r="W49" s="13">
        <v>56535.36</v>
      </c>
      <c r="X49" s="13">
        <v>16906.8</v>
      </c>
      <c r="Y49" s="15">
        <f t="shared" si="34"/>
        <v>73442.16</v>
      </c>
      <c r="Z49" s="15">
        <f t="shared" si="35"/>
        <v>27453.01655502392</v>
      </c>
      <c r="AA49" s="13">
        <v>1352.52</v>
      </c>
      <c r="AB49" s="15"/>
      <c r="AC49" s="13">
        <f aca="true" t="shared" si="52" ref="AC49:AC60">AH49/12.54*3.26</f>
        <v>14627.110462519935</v>
      </c>
      <c r="AD49" s="13">
        <f aca="true" t="shared" si="53" ref="AD49:AD60">AH49/12.54*1.08</f>
        <v>4845.791196172248</v>
      </c>
      <c r="AE49" s="13">
        <f aca="true" t="shared" si="54" ref="AE49:AE60">AH49/12.54*0.78</f>
        <v>3499.738086124402</v>
      </c>
      <c r="AF49" s="13">
        <f aca="true" t="shared" si="55" ref="AF49:AF60">AH49/12.54*0.61</f>
        <v>2736.9746570972884</v>
      </c>
      <c r="AG49" s="13">
        <f aca="true" t="shared" si="56" ref="AG49:AG64">AH49/12.54*0.39</f>
        <v>1749.869043062201</v>
      </c>
      <c r="AH49" s="16">
        <v>56265.02</v>
      </c>
      <c r="AI49" s="4">
        <v>16679.07</v>
      </c>
      <c r="AJ49" s="15">
        <f t="shared" si="36"/>
        <v>72944.09</v>
      </c>
      <c r="AK49" s="21">
        <v>1516.9</v>
      </c>
      <c r="AL49" s="13">
        <v>1352.52</v>
      </c>
      <c r="AM49" s="21">
        <f t="shared" si="37"/>
        <v>0</v>
      </c>
      <c r="AN49" s="21">
        <f t="shared" si="38"/>
        <v>13997.514513556618</v>
      </c>
      <c r="AO49" s="21">
        <f t="shared" si="39"/>
        <v>4637.213397129187</v>
      </c>
      <c r="AP49" s="21">
        <f t="shared" si="40"/>
        <v>3349.0985645933015</v>
      </c>
      <c r="AQ49" s="21">
        <f t="shared" si="41"/>
        <v>2619.1668261562995</v>
      </c>
      <c r="AR49" s="21">
        <f t="shared" si="42"/>
        <v>1674.5492822966507</v>
      </c>
      <c r="AS49" s="22">
        <f t="shared" si="43"/>
        <v>29146.962583732056</v>
      </c>
      <c r="AT49" s="21">
        <f t="shared" si="44"/>
        <v>16101.714285714284</v>
      </c>
      <c r="AU49" s="21">
        <f t="shared" si="45"/>
        <v>45248.67686944634</v>
      </c>
      <c r="AV49" s="79" t="s">
        <v>43</v>
      </c>
    </row>
    <row r="50" spans="1:48" ht="22.5" customHeight="1">
      <c r="A50" s="26">
        <v>42</v>
      </c>
      <c r="B50" s="9" t="s">
        <v>44</v>
      </c>
      <c r="C50" s="11">
        <v>744.11</v>
      </c>
      <c r="D50" s="86">
        <f t="shared" si="30"/>
        <v>6.119999552037556</v>
      </c>
      <c r="E50" s="87">
        <f t="shared" si="31"/>
        <v>0.30000044796244285</v>
      </c>
      <c r="F50" s="87"/>
      <c r="G50" s="87">
        <v>3.26</v>
      </c>
      <c r="H50" s="87">
        <v>1.08</v>
      </c>
      <c r="I50" s="87">
        <v>0.78</v>
      </c>
      <c r="J50" s="87">
        <v>0.61</v>
      </c>
      <c r="K50" s="87">
        <v>0.39</v>
      </c>
      <c r="L50" s="109">
        <v>12.54</v>
      </c>
      <c r="M50" s="87">
        <v>3.75</v>
      </c>
      <c r="N50" s="87">
        <f t="shared" si="32"/>
        <v>16.29</v>
      </c>
      <c r="O50" s="13">
        <f t="shared" si="33"/>
        <v>27323.749760765553</v>
      </c>
      <c r="P50" s="13">
        <v>1339.4</v>
      </c>
      <c r="Q50" s="13">
        <f t="shared" si="46"/>
        <v>0</v>
      </c>
      <c r="R50" s="13">
        <f t="shared" si="47"/>
        <v>14554.808133971292</v>
      </c>
      <c r="S50" s="13">
        <f t="shared" si="48"/>
        <v>4821.838277511963</v>
      </c>
      <c r="T50" s="13">
        <f t="shared" si="49"/>
        <v>3482.4387559808615</v>
      </c>
      <c r="U50" s="13">
        <f t="shared" si="50"/>
        <v>2723.4456937799046</v>
      </c>
      <c r="V50" s="13">
        <f t="shared" si="51"/>
        <v>1741.2193779904308</v>
      </c>
      <c r="W50" s="13">
        <v>55986.9</v>
      </c>
      <c r="X50" s="13">
        <v>16742.64</v>
      </c>
      <c r="Y50" s="15">
        <f t="shared" si="34"/>
        <v>72729.54000000001</v>
      </c>
      <c r="Z50" s="15">
        <f t="shared" si="35"/>
        <v>24272.657559808602</v>
      </c>
      <c r="AA50" s="13">
        <v>1339.4</v>
      </c>
      <c r="AB50" s="15"/>
      <c r="AC50" s="13">
        <f t="shared" si="52"/>
        <v>13005.499633173844</v>
      </c>
      <c r="AD50" s="13">
        <f t="shared" si="53"/>
        <v>4308.5704306220105</v>
      </c>
      <c r="AE50" s="13">
        <f t="shared" si="54"/>
        <v>3111.745311004785</v>
      </c>
      <c r="AF50" s="13">
        <f t="shared" si="55"/>
        <v>2433.544409888357</v>
      </c>
      <c r="AG50" s="13">
        <f t="shared" si="56"/>
        <v>1555.8726555023925</v>
      </c>
      <c r="AH50" s="16">
        <v>50027.29</v>
      </c>
      <c r="AI50" s="4">
        <v>14966.68</v>
      </c>
      <c r="AJ50" s="15">
        <f t="shared" si="36"/>
        <v>64993.97</v>
      </c>
      <c r="AK50" s="21">
        <v>1342</v>
      </c>
      <c r="AL50" s="13">
        <v>1339.4</v>
      </c>
      <c r="AM50" s="21">
        <f t="shared" si="37"/>
        <v>0</v>
      </c>
      <c r="AN50" s="21">
        <f t="shared" si="38"/>
        <v>13861.722032353611</v>
      </c>
      <c r="AO50" s="21">
        <f t="shared" si="39"/>
        <v>4592.226930963774</v>
      </c>
      <c r="AP50" s="21">
        <f t="shared" si="40"/>
        <v>3316.6083390293916</v>
      </c>
      <c r="AQ50" s="21">
        <f t="shared" si="41"/>
        <v>2593.757803599909</v>
      </c>
      <c r="AR50" s="21">
        <f t="shared" si="42"/>
        <v>1658.3041695146958</v>
      </c>
      <c r="AS50" s="22">
        <f t="shared" si="43"/>
        <v>28704.01927546138</v>
      </c>
      <c r="AT50" s="21">
        <f t="shared" si="44"/>
        <v>15945.371428571427</v>
      </c>
      <c r="AU50" s="21">
        <f t="shared" si="45"/>
        <v>44649.390704032805</v>
      </c>
      <c r="AV50" s="79" t="s">
        <v>44</v>
      </c>
    </row>
    <row r="51" spans="1:48" ht="22.5" customHeight="1">
      <c r="A51" s="26">
        <v>43</v>
      </c>
      <c r="B51" s="9" t="s">
        <v>45</v>
      </c>
      <c r="C51" s="11">
        <v>569.7</v>
      </c>
      <c r="D51" s="86">
        <f t="shared" si="30"/>
        <v>6.119999999999998</v>
      </c>
      <c r="E51" s="87">
        <f t="shared" si="31"/>
        <v>0.3</v>
      </c>
      <c r="F51" s="87"/>
      <c r="G51" s="87">
        <v>3.26</v>
      </c>
      <c r="H51" s="87">
        <v>1.08</v>
      </c>
      <c r="I51" s="87">
        <v>0.78</v>
      </c>
      <c r="J51" s="87">
        <v>0.61</v>
      </c>
      <c r="K51" s="87">
        <v>0.39</v>
      </c>
      <c r="L51" s="109">
        <v>12.54</v>
      </c>
      <c r="M51" s="87">
        <v>3.75</v>
      </c>
      <c r="N51" s="87">
        <f t="shared" si="32"/>
        <v>16.29</v>
      </c>
      <c r="O51" s="13">
        <f t="shared" si="33"/>
        <v>20919.390143540666</v>
      </c>
      <c r="P51" s="13">
        <v>1025.46</v>
      </c>
      <c r="Q51" s="13">
        <f t="shared" si="46"/>
        <v>0</v>
      </c>
      <c r="R51" s="13">
        <f t="shared" si="47"/>
        <v>11143.335119617224</v>
      </c>
      <c r="S51" s="13">
        <f t="shared" si="48"/>
        <v>3691.6570334928233</v>
      </c>
      <c r="T51" s="13">
        <f t="shared" si="49"/>
        <v>2666.1967464114837</v>
      </c>
      <c r="U51" s="13">
        <f t="shared" si="50"/>
        <v>2085.1025837320576</v>
      </c>
      <c r="V51" s="13">
        <f t="shared" si="51"/>
        <v>1333.0983732057418</v>
      </c>
      <c r="W51" s="13">
        <v>42864.24</v>
      </c>
      <c r="X51" s="13">
        <v>12818.28</v>
      </c>
      <c r="Y51" s="15">
        <f t="shared" si="34"/>
        <v>55682.52</v>
      </c>
      <c r="Z51" s="15">
        <f t="shared" si="35"/>
        <v>20824.395645933015</v>
      </c>
      <c r="AA51" s="13">
        <v>1025.46</v>
      </c>
      <c r="AB51" s="15"/>
      <c r="AC51" s="13">
        <f t="shared" si="52"/>
        <v>11095.098038277512</v>
      </c>
      <c r="AD51" s="13">
        <f t="shared" si="53"/>
        <v>3675.676650717704</v>
      </c>
      <c r="AE51" s="13">
        <f t="shared" si="54"/>
        <v>2654.6553588516754</v>
      </c>
      <c r="AF51" s="13">
        <f t="shared" si="55"/>
        <v>2076.0766267942586</v>
      </c>
      <c r="AG51" s="13">
        <f t="shared" si="56"/>
        <v>1327.3276794258377</v>
      </c>
      <c r="AH51" s="16">
        <v>42678.69</v>
      </c>
      <c r="AI51" s="4">
        <v>11802.22</v>
      </c>
      <c r="AJ51" s="15">
        <f t="shared" si="36"/>
        <v>54480.91</v>
      </c>
      <c r="AK51" s="21">
        <v>14551</v>
      </c>
      <c r="AL51" s="13">
        <v>1025.46</v>
      </c>
      <c r="AM51" s="21">
        <f t="shared" si="37"/>
        <v>0</v>
      </c>
      <c r="AN51" s="21">
        <f t="shared" si="38"/>
        <v>10612.700113921166</v>
      </c>
      <c r="AO51" s="21">
        <f t="shared" si="39"/>
        <v>3515.863841421736</v>
      </c>
      <c r="AP51" s="21">
        <f t="shared" si="40"/>
        <v>2539.2349965823655</v>
      </c>
      <c r="AQ51" s="21">
        <f t="shared" si="41"/>
        <v>1985.8119845067215</v>
      </c>
      <c r="AR51" s="21">
        <f t="shared" si="42"/>
        <v>1269.6174982911828</v>
      </c>
      <c r="AS51" s="22">
        <f t="shared" si="43"/>
        <v>35499.68843472317</v>
      </c>
      <c r="AT51" s="21">
        <f t="shared" si="44"/>
        <v>12207.885714285714</v>
      </c>
      <c r="AU51" s="21">
        <f t="shared" si="45"/>
        <v>47707.574149008884</v>
      </c>
      <c r="AV51" s="79" t="s">
        <v>45</v>
      </c>
    </row>
    <row r="52" spans="1:48" ht="22.5" customHeight="1">
      <c r="A52" s="26">
        <v>44</v>
      </c>
      <c r="B52" s="9" t="s">
        <v>46</v>
      </c>
      <c r="C52" s="11">
        <v>448.7</v>
      </c>
      <c r="D52" s="86">
        <f t="shared" si="30"/>
        <v>6.119999999999998</v>
      </c>
      <c r="E52" s="87">
        <f t="shared" si="31"/>
        <v>0.3</v>
      </c>
      <c r="F52" s="87"/>
      <c r="G52" s="87">
        <v>3.26</v>
      </c>
      <c r="H52" s="87">
        <v>1.08</v>
      </c>
      <c r="I52" s="87">
        <v>0.78</v>
      </c>
      <c r="J52" s="87">
        <v>0.61</v>
      </c>
      <c r="K52" s="87">
        <v>0.39</v>
      </c>
      <c r="L52" s="109">
        <v>12.54</v>
      </c>
      <c r="M52" s="87">
        <v>3.75</v>
      </c>
      <c r="N52" s="87">
        <f t="shared" si="32"/>
        <v>16.29</v>
      </c>
      <c r="O52" s="13">
        <f t="shared" si="33"/>
        <v>22626.68645933014</v>
      </c>
      <c r="P52" s="13">
        <v>807.66</v>
      </c>
      <c r="Q52" s="13">
        <f t="shared" si="46"/>
        <v>0</v>
      </c>
      <c r="R52" s="13">
        <f t="shared" si="47"/>
        <v>11899.683716108453</v>
      </c>
      <c r="S52" s="13">
        <f t="shared" si="48"/>
        <v>3942.226507177034</v>
      </c>
      <c r="T52" s="13">
        <f t="shared" si="49"/>
        <v>2847.1635885167466</v>
      </c>
      <c r="U52" s="13">
        <f t="shared" si="50"/>
        <v>2226.6279346092506</v>
      </c>
      <c r="V52" s="13">
        <f t="shared" si="51"/>
        <v>1423.5817942583733</v>
      </c>
      <c r="W52" s="13">
        <v>45773.63</v>
      </c>
      <c r="X52" s="13">
        <v>13609.38</v>
      </c>
      <c r="Y52" s="15">
        <f t="shared" si="34"/>
        <v>59383.009999999995</v>
      </c>
      <c r="Z52" s="15">
        <f t="shared" si="35"/>
        <v>14817.094354066985</v>
      </c>
      <c r="AA52" s="13">
        <v>807.66</v>
      </c>
      <c r="AB52" s="15"/>
      <c r="AC52" s="13">
        <f t="shared" si="52"/>
        <v>7934.0652950558215</v>
      </c>
      <c r="AD52" s="13">
        <f t="shared" si="53"/>
        <v>2628.4633492822973</v>
      </c>
      <c r="AE52" s="13">
        <f t="shared" si="54"/>
        <v>1898.3346411483255</v>
      </c>
      <c r="AF52" s="13">
        <f t="shared" si="55"/>
        <v>1484.5950398724083</v>
      </c>
      <c r="AG52" s="13">
        <f t="shared" si="56"/>
        <v>949.1673205741628</v>
      </c>
      <c r="AH52" s="16">
        <v>30519.38</v>
      </c>
      <c r="AI52" s="4">
        <v>9096.98</v>
      </c>
      <c r="AJ52" s="15">
        <f t="shared" si="36"/>
        <v>39616.36</v>
      </c>
      <c r="AK52" s="21"/>
      <c r="AL52" s="13">
        <v>807.66</v>
      </c>
      <c r="AM52" s="21">
        <f t="shared" si="37"/>
        <v>0</v>
      </c>
      <c r="AN52" s="21">
        <f t="shared" si="38"/>
        <v>11333.03211057948</v>
      </c>
      <c r="AO52" s="21">
        <f t="shared" si="39"/>
        <v>3754.501435406699</v>
      </c>
      <c r="AP52" s="21">
        <f t="shared" si="40"/>
        <v>2711.584370015949</v>
      </c>
      <c r="AQ52" s="21">
        <f t="shared" si="41"/>
        <v>2120.598032961191</v>
      </c>
      <c r="AR52" s="21">
        <f t="shared" si="42"/>
        <v>1355.7921850079745</v>
      </c>
      <c r="AS52" s="22">
        <f t="shared" si="43"/>
        <v>22083.168133971292</v>
      </c>
      <c r="AT52" s="21">
        <f t="shared" si="44"/>
        <v>12961.314285714285</v>
      </c>
      <c r="AU52" s="21">
        <f t="shared" si="45"/>
        <v>35044.48241968558</v>
      </c>
      <c r="AV52" s="79" t="s">
        <v>46</v>
      </c>
    </row>
    <row r="53" spans="1:48" ht="22.5" customHeight="1">
      <c r="A53" s="26">
        <v>45</v>
      </c>
      <c r="B53" s="9" t="s">
        <v>47</v>
      </c>
      <c r="C53" s="11">
        <v>1082.01</v>
      </c>
      <c r="D53" s="86">
        <f t="shared" si="30"/>
        <v>6.1199996919313735</v>
      </c>
      <c r="E53" s="87">
        <f t="shared" si="31"/>
        <v>0.3000003080686254</v>
      </c>
      <c r="F53" s="87"/>
      <c r="G53" s="87">
        <v>3.26</v>
      </c>
      <c r="H53" s="87">
        <v>1.08</v>
      </c>
      <c r="I53" s="87">
        <v>0.78</v>
      </c>
      <c r="J53" s="87">
        <v>0.61</v>
      </c>
      <c r="K53" s="87">
        <v>0.39</v>
      </c>
      <c r="L53" s="109">
        <v>12.54</v>
      </c>
      <c r="M53" s="87">
        <v>3.75</v>
      </c>
      <c r="N53" s="87">
        <f t="shared" si="32"/>
        <v>16.29</v>
      </c>
      <c r="O53" s="13">
        <f t="shared" si="33"/>
        <v>39732.12583732057</v>
      </c>
      <c r="P53" s="13">
        <v>1947.62</v>
      </c>
      <c r="Q53" s="13">
        <f t="shared" si="46"/>
        <v>0</v>
      </c>
      <c r="R53" s="13">
        <f t="shared" si="47"/>
        <v>21164.481531100475</v>
      </c>
      <c r="S53" s="13">
        <f t="shared" si="48"/>
        <v>7011.546028708134</v>
      </c>
      <c r="T53" s="13">
        <f t="shared" si="49"/>
        <v>5063.894354066986</v>
      </c>
      <c r="U53" s="13">
        <f t="shared" si="50"/>
        <v>3960.2250717703346</v>
      </c>
      <c r="V53" s="13">
        <f t="shared" si="51"/>
        <v>2531.947177033493</v>
      </c>
      <c r="W53" s="13">
        <v>81411.84</v>
      </c>
      <c r="X53" s="13">
        <v>24346.02</v>
      </c>
      <c r="Y53" s="15">
        <f t="shared" si="34"/>
        <v>105757.86</v>
      </c>
      <c r="Z53" s="15">
        <f t="shared" si="35"/>
        <v>39096.243779904304</v>
      </c>
      <c r="AA53" s="13">
        <v>1947.62</v>
      </c>
      <c r="AB53" s="15"/>
      <c r="AC53" s="13">
        <f t="shared" si="52"/>
        <v>20841.588149920255</v>
      </c>
      <c r="AD53" s="13">
        <f t="shared" si="53"/>
        <v>6904.575215311005</v>
      </c>
      <c r="AE53" s="13">
        <f t="shared" si="54"/>
        <v>4986.637655502393</v>
      </c>
      <c r="AF53" s="13">
        <f t="shared" si="55"/>
        <v>3899.8063716108454</v>
      </c>
      <c r="AG53" s="13">
        <f t="shared" si="56"/>
        <v>2493.3188277511963</v>
      </c>
      <c r="AH53" s="16">
        <v>80169.79</v>
      </c>
      <c r="AI53" s="4">
        <v>22134.85</v>
      </c>
      <c r="AJ53" s="15">
        <f t="shared" si="36"/>
        <v>102304.63999999998</v>
      </c>
      <c r="AK53" s="21"/>
      <c r="AL53" s="13">
        <v>1947.62</v>
      </c>
      <c r="AM53" s="21">
        <f t="shared" si="37"/>
        <v>0</v>
      </c>
      <c r="AN53" s="21">
        <f t="shared" si="38"/>
        <v>20156.649077238548</v>
      </c>
      <c r="AO53" s="21">
        <f t="shared" si="39"/>
        <v>6677.662884483937</v>
      </c>
      <c r="AP53" s="21">
        <f t="shared" si="40"/>
        <v>4822.756527682844</v>
      </c>
      <c r="AQ53" s="21">
        <f t="shared" si="41"/>
        <v>3771.6429254955565</v>
      </c>
      <c r="AR53" s="21">
        <f t="shared" si="42"/>
        <v>2411.378263841422</v>
      </c>
      <c r="AS53" s="22">
        <f t="shared" si="43"/>
        <v>39787.70967874231</v>
      </c>
      <c r="AT53" s="21">
        <f t="shared" si="44"/>
        <v>23186.685714285715</v>
      </c>
      <c r="AU53" s="21">
        <f t="shared" si="45"/>
        <v>62974.395393028026</v>
      </c>
      <c r="AV53" s="79" t="s">
        <v>47</v>
      </c>
    </row>
    <row r="54" spans="1:48" ht="22.5" customHeight="1">
      <c r="A54" s="26">
        <v>46</v>
      </c>
      <c r="B54" s="9" t="s">
        <v>48</v>
      </c>
      <c r="C54" s="11">
        <v>724.07</v>
      </c>
      <c r="D54" s="86">
        <f t="shared" si="30"/>
        <v>6.119999079278705</v>
      </c>
      <c r="E54" s="87">
        <f t="shared" si="31"/>
        <v>0.30000092072129303</v>
      </c>
      <c r="F54" s="87"/>
      <c r="G54" s="87">
        <v>3.26</v>
      </c>
      <c r="H54" s="87">
        <v>1.08</v>
      </c>
      <c r="I54" s="87">
        <v>0.78</v>
      </c>
      <c r="J54" s="87">
        <v>0.61</v>
      </c>
      <c r="K54" s="87">
        <v>0.39</v>
      </c>
      <c r="L54" s="109">
        <v>12.54</v>
      </c>
      <c r="M54" s="87">
        <v>3.75</v>
      </c>
      <c r="N54" s="87">
        <f t="shared" si="32"/>
        <v>16.29</v>
      </c>
      <c r="O54" s="13">
        <f t="shared" si="33"/>
        <v>26553.172870813392</v>
      </c>
      <c r="P54" s="13">
        <v>1303.33</v>
      </c>
      <c r="Q54" s="13">
        <f t="shared" si="46"/>
        <v>0</v>
      </c>
      <c r="R54" s="13">
        <f t="shared" si="47"/>
        <v>14145.2023923445</v>
      </c>
      <c r="S54" s="13">
        <f t="shared" si="48"/>
        <v>4686.140669856461</v>
      </c>
      <c r="T54" s="13">
        <f t="shared" si="49"/>
        <v>3384.4349282296657</v>
      </c>
      <c r="U54" s="13">
        <f t="shared" si="50"/>
        <v>2646.8016746411486</v>
      </c>
      <c r="V54" s="13">
        <f t="shared" si="51"/>
        <v>1692.2174641148329</v>
      </c>
      <c r="W54" s="13">
        <v>54411.3</v>
      </c>
      <c r="X54" s="13">
        <v>16271.52</v>
      </c>
      <c r="Y54" s="15">
        <f t="shared" si="34"/>
        <v>70682.82</v>
      </c>
      <c r="Z54" s="15">
        <f t="shared" si="35"/>
        <v>25424.281913875595</v>
      </c>
      <c r="AA54" s="13">
        <v>1303.33</v>
      </c>
      <c r="AB54" s="15"/>
      <c r="AC54" s="13">
        <f t="shared" si="52"/>
        <v>13571.964928229663</v>
      </c>
      <c r="AD54" s="13">
        <f t="shared" si="53"/>
        <v>4496.233779904306</v>
      </c>
      <c r="AE54" s="13">
        <f t="shared" si="54"/>
        <v>3247.2799521531097</v>
      </c>
      <c r="AF54" s="13">
        <f t="shared" si="55"/>
        <v>2539.5394497607654</v>
      </c>
      <c r="AG54" s="13">
        <f t="shared" si="56"/>
        <v>1623.6399760765548</v>
      </c>
      <c r="AH54" s="16">
        <v>52206.27</v>
      </c>
      <c r="AI54" s="4">
        <v>14002.72</v>
      </c>
      <c r="AJ54" s="15">
        <f t="shared" si="36"/>
        <v>66208.98999999999</v>
      </c>
      <c r="AK54" s="21">
        <v>2107</v>
      </c>
      <c r="AL54" s="13">
        <v>1303.33</v>
      </c>
      <c r="AM54" s="21">
        <f t="shared" si="37"/>
        <v>0</v>
      </c>
      <c r="AN54" s="21">
        <f t="shared" si="38"/>
        <v>13471.62132604238</v>
      </c>
      <c r="AO54" s="21">
        <f t="shared" si="39"/>
        <v>4462.99111414901</v>
      </c>
      <c r="AP54" s="21">
        <f t="shared" si="40"/>
        <v>3223.271360218729</v>
      </c>
      <c r="AQ54" s="21">
        <f t="shared" si="41"/>
        <v>2520.7634996582365</v>
      </c>
      <c r="AR54" s="21">
        <f t="shared" si="42"/>
        <v>1611.6356801093646</v>
      </c>
      <c r="AS54" s="22">
        <f t="shared" si="43"/>
        <v>28700.612980177713</v>
      </c>
      <c r="AT54" s="21">
        <f t="shared" si="44"/>
        <v>15496.685714285713</v>
      </c>
      <c r="AU54" s="21">
        <f t="shared" si="45"/>
        <v>44197.298694463425</v>
      </c>
      <c r="AV54" s="79" t="s">
        <v>48</v>
      </c>
    </row>
    <row r="55" spans="1:48" ht="22.5" customHeight="1">
      <c r="A55" s="26">
        <v>47</v>
      </c>
      <c r="B55" s="9" t="s">
        <v>49</v>
      </c>
      <c r="C55" s="11">
        <v>778.2</v>
      </c>
      <c r="D55" s="86">
        <f t="shared" si="30"/>
        <v>6.119999999999998</v>
      </c>
      <c r="E55" s="87">
        <f t="shared" si="31"/>
        <v>0.3</v>
      </c>
      <c r="F55" s="87"/>
      <c r="G55" s="87">
        <v>3.26</v>
      </c>
      <c r="H55" s="87">
        <v>1.08</v>
      </c>
      <c r="I55" s="87">
        <v>0.78</v>
      </c>
      <c r="J55" s="87">
        <v>0.61</v>
      </c>
      <c r="K55" s="87">
        <v>0.39</v>
      </c>
      <c r="L55" s="109">
        <v>12.54</v>
      </c>
      <c r="M55" s="87">
        <v>3.75</v>
      </c>
      <c r="N55" s="87">
        <f t="shared" si="32"/>
        <v>16.29</v>
      </c>
      <c r="O55" s="13">
        <f t="shared" si="33"/>
        <v>28575.510143540672</v>
      </c>
      <c r="P55" s="13">
        <v>1400.76</v>
      </c>
      <c r="Q55" s="13">
        <f t="shared" si="46"/>
        <v>0</v>
      </c>
      <c r="R55" s="13">
        <f t="shared" si="47"/>
        <v>15221.595119617226</v>
      </c>
      <c r="S55" s="13">
        <f t="shared" si="48"/>
        <v>5042.737033492824</v>
      </c>
      <c r="T55" s="13">
        <f t="shared" si="49"/>
        <v>3641.976746411484</v>
      </c>
      <c r="U55" s="13">
        <f t="shared" si="50"/>
        <v>2848.2125837320577</v>
      </c>
      <c r="V55" s="13">
        <f t="shared" si="51"/>
        <v>1820.988373205742</v>
      </c>
      <c r="W55" s="13">
        <v>58551.78</v>
      </c>
      <c r="X55" s="13">
        <v>17509.74</v>
      </c>
      <c r="Y55" s="15">
        <f t="shared" si="34"/>
        <v>76061.52</v>
      </c>
      <c r="Z55" s="15">
        <f t="shared" si="35"/>
        <v>25383.602870813396</v>
      </c>
      <c r="AA55" s="13">
        <v>1400.76</v>
      </c>
      <c r="AB55" s="15"/>
      <c r="AC55" s="13">
        <f t="shared" si="52"/>
        <v>13600.7823923445</v>
      </c>
      <c r="AD55" s="13">
        <f t="shared" si="53"/>
        <v>4505.780669856461</v>
      </c>
      <c r="AE55" s="13">
        <f t="shared" si="54"/>
        <v>3254.174928229666</v>
      </c>
      <c r="AF55" s="13">
        <f t="shared" si="55"/>
        <v>2544.9316746411487</v>
      </c>
      <c r="AG55" s="13">
        <f t="shared" si="56"/>
        <v>1627.087464114833</v>
      </c>
      <c r="AH55" s="16">
        <v>52317.12</v>
      </c>
      <c r="AI55" s="4">
        <v>15199.47</v>
      </c>
      <c r="AJ55" s="15">
        <f t="shared" si="36"/>
        <v>67516.59</v>
      </c>
      <c r="AK55" s="21">
        <v>9541.7</v>
      </c>
      <c r="AL55" s="13">
        <v>1400.76</v>
      </c>
      <c r="AM55" s="21">
        <f t="shared" si="37"/>
        <v>0</v>
      </c>
      <c r="AN55" s="21">
        <f t="shared" si="38"/>
        <v>14496.75725677831</v>
      </c>
      <c r="AO55" s="21">
        <f t="shared" si="39"/>
        <v>4802.606698564594</v>
      </c>
      <c r="AP55" s="21">
        <f t="shared" si="40"/>
        <v>3468.549282296651</v>
      </c>
      <c r="AQ55" s="21">
        <f t="shared" si="41"/>
        <v>2712.58341307815</v>
      </c>
      <c r="AR55" s="21">
        <f t="shared" si="42"/>
        <v>1734.2746411483256</v>
      </c>
      <c r="AS55" s="22">
        <f t="shared" si="43"/>
        <v>38157.23129186603</v>
      </c>
      <c r="AT55" s="21">
        <f t="shared" si="44"/>
        <v>16675.942857142858</v>
      </c>
      <c r="AU55" s="21">
        <f>AS55+AT55</f>
        <v>54833.17414900889</v>
      </c>
      <c r="AV55" s="79" t="s">
        <v>49</v>
      </c>
    </row>
    <row r="56" spans="1:48" ht="22.5" customHeight="1">
      <c r="A56" s="26">
        <v>48</v>
      </c>
      <c r="B56" s="9" t="s">
        <v>50</v>
      </c>
      <c r="C56" s="11">
        <v>427.81</v>
      </c>
      <c r="D56" s="86">
        <f t="shared" si="30"/>
        <v>6.061024442314733</v>
      </c>
      <c r="E56" s="87">
        <f t="shared" si="31"/>
        <v>0.3589755576852653</v>
      </c>
      <c r="F56" s="87"/>
      <c r="G56" s="87">
        <v>3.26</v>
      </c>
      <c r="H56" s="87">
        <v>1.08</v>
      </c>
      <c r="I56" s="87">
        <v>0.78</v>
      </c>
      <c r="J56" s="87">
        <v>0.61</v>
      </c>
      <c r="K56" s="87">
        <v>0.39</v>
      </c>
      <c r="L56" s="109">
        <v>12.54</v>
      </c>
      <c r="M56" s="87">
        <v>3.75</v>
      </c>
      <c r="N56" s="87">
        <f t="shared" si="32"/>
        <v>16.29</v>
      </c>
      <c r="O56" s="13">
        <f t="shared" si="33"/>
        <v>14211.692870813396</v>
      </c>
      <c r="P56" s="13">
        <v>921.44</v>
      </c>
      <c r="Q56" s="13">
        <f t="shared" si="46"/>
        <v>0</v>
      </c>
      <c r="R56" s="13">
        <f t="shared" si="47"/>
        <v>7684.425725677831</v>
      </c>
      <c r="S56" s="13">
        <f t="shared" si="48"/>
        <v>2545.7606698564596</v>
      </c>
      <c r="T56" s="13">
        <f t="shared" si="49"/>
        <v>1838.6049282296653</v>
      </c>
      <c r="U56" s="13">
        <f t="shared" si="50"/>
        <v>1437.883341307815</v>
      </c>
      <c r="V56" s="13">
        <f t="shared" si="51"/>
        <v>919.3024641148327</v>
      </c>
      <c r="W56" s="13">
        <v>29559.11</v>
      </c>
      <c r="X56" s="13">
        <v>6721.09</v>
      </c>
      <c r="Y56" s="15">
        <f t="shared" si="34"/>
        <v>36280.2</v>
      </c>
      <c r="Z56" s="15">
        <f t="shared" si="35"/>
        <v>11996.485693779901</v>
      </c>
      <c r="AA56" s="13">
        <v>921.44</v>
      </c>
      <c r="AB56" s="15"/>
      <c r="AC56" s="13">
        <f t="shared" si="52"/>
        <v>6559.5697448165865</v>
      </c>
      <c r="AD56" s="13">
        <f t="shared" si="53"/>
        <v>2173.108995215311</v>
      </c>
      <c r="AE56" s="13">
        <f t="shared" si="54"/>
        <v>1569.4676076555024</v>
      </c>
      <c r="AF56" s="13">
        <f t="shared" si="55"/>
        <v>1227.4041547049442</v>
      </c>
      <c r="AG56" s="13">
        <f t="shared" si="56"/>
        <v>784.7338038277512</v>
      </c>
      <c r="AH56" s="16">
        <v>25232.21</v>
      </c>
      <c r="AI56" s="4">
        <v>6278.56</v>
      </c>
      <c r="AJ56" s="15">
        <f t="shared" si="36"/>
        <v>31510.77</v>
      </c>
      <c r="AK56" s="21">
        <v>5761</v>
      </c>
      <c r="AL56" s="13">
        <v>921.44</v>
      </c>
      <c r="AM56" s="21">
        <f t="shared" si="37"/>
        <v>0</v>
      </c>
      <c r="AN56" s="21">
        <f t="shared" si="38"/>
        <v>7318.500691121743</v>
      </c>
      <c r="AO56" s="21">
        <f t="shared" si="39"/>
        <v>2424.5339712918662</v>
      </c>
      <c r="AP56" s="21">
        <f t="shared" si="40"/>
        <v>1751.0523125996813</v>
      </c>
      <c r="AQ56" s="21">
        <f t="shared" si="41"/>
        <v>1369.412706007443</v>
      </c>
      <c r="AR56" s="21">
        <f t="shared" si="42"/>
        <v>875.5261562998406</v>
      </c>
      <c r="AS56" s="22">
        <f t="shared" si="43"/>
        <v>20421.465837320575</v>
      </c>
      <c r="AT56" s="21">
        <f t="shared" si="44"/>
        <v>6401.038095238095</v>
      </c>
      <c r="AU56" s="21">
        <f t="shared" si="45"/>
        <v>26822.50393255867</v>
      </c>
      <c r="AV56" s="79" t="s">
        <v>50</v>
      </c>
    </row>
    <row r="57" spans="1:48" ht="22.5" customHeight="1">
      <c r="A57" s="26">
        <v>49</v>
      </c>
      <c r="B57" s="9" t="s">
        <v>51</v>
      </c>
      <c r="C57" s="11">
        <v>569.5</v>
      </c>
      <c r="D57" s="86">
        <f t="shared" si="30"/>
        <v>6.119999999999998</v>
      </c>
      <c r="E57" s="87">
        <f t="shared" si="31"/>
        <v>0.3</v>
      </c>
      <c r="F57" s="87"/>
      <c r="G57" s="87">
        <v>3.26</v>
      </c>
      <c r="H57" s="87">
        <v>1.08</v>
      </c>
      <c r="I57" s="87">
        <v>0.78</v>
      </c>
      <c r="J57" s="87">
        <v>0.61</v>
      </c>
      <c r="K57" s="87">
        <v>0.39</v>
      </c>
      <c r="L57" s="109">
        <v>12.54</v>
      </c>
      <c r="M57" s="87">
        <v>3.75</v>
      </c>
      <c r="N57" s="87">
        <f t="shared" si="32"/>
        <v>16.29</v>
      </c>
      <c r="O57" s="13">
        <f t="shared" si="33"/>
        <v>20896.281818181822</v>
      </c>
      <c r="P57" s="13">
        <v>1025.1</v>
      </c>
      <c r="Q57" s="13">
        <f t="shared" si="46"/>
        <v>0</v>
      </c>
      <c r="R57" s="13">
        <f t="shared" si="47"/>
        <v>11131.418181818182</v>
      </c>
      <c r="S57" s="13">
        <f t="shared" si="48"/>
        <v>3687.7090909090916</v>
      </c>
      <c r="T57" s="13">
        <f t="shared" si="49"/>
        <v>2663.345454545455</v>
      </c>
      <c r="U57" s="13">
        <f t="shared" si="50"/>
        <v>2082.8727272727274</v>
      </c>
      <c r="V57" s="13">
        <f t="shared" si="51"/>
        <v>1331.6727272727276</v>
      </c>
      <c r="W57" s="13">
        <v>42818.4</v>
      </c>
      <c r="X57" s="13">
        <v>12804.72</v>
      </c>
      <c r="Y57" s="15">
        <f t="shared" si="34"/>
        <v>55623.12</v>
      </c>
      <c r="Z57" s="15">
        <f t="shared" si="35"/>
        <v>19877.503588516738</v>
      </c>
      <c r="AA57" s="13">
        <v>1025.1</v>
      </c>
      <c r="AB57" s="15"/>
      <c r="AC57" s="13">
        <f t="shared" si="52"/>
        <v>10614.094657097288</v>
      </c>
      <c r="AD57" s="13">
        <f t="shared" si="53"/>
        <v>3516.3258373205745</v>
      </c>
      <c r="AE57" s="13">
        <f t="shared" si="54"/>
        <v>2539.5686602870815</v>
      </c>
      <c r="AF57" s="13">
        <f t="shared" si="55"/>
        <v>1986.0729266347687</v>
      </c>
      <c r="AG57" s="13">
        <f t="shared" si="56"/>
        <v>1269.7843301435407</v>
      </c>
      <c r="AH57" s="16">
        <v>40828.45</v>
      </c>
      <c r="AI57" s="4">
        <v>11688.32</v>
      </c>
      <c r="AJ57" s="15">
        <f t="shared" si="36"/>
        <v>52516.77</v>
      </c>
      <c r="AK57" s="21">
        <v>9231.5</v>
      </c>
      <c r="AL57" s="13">
        <v>1025.1</v>
      </c>
      <c r="AM57" s="21">
        <f t="shared" si="37"/>
        <v>0</v>
      </c>
      <c r="AN57" s="21">
        <f t="shared" si="38"/>
        <v>10601.35064935065</v>
      </c>
      <c r="AO57" s="21">
        <f t="shared" si="39"/>
        <v>3512.1038961038967</v>
      </c>
      <c r="AP57" s="21">
        <f t="shared" si="40"/>
        <v>2536.519480519481</v>
      </c>
      <c r="AQ57" s="21">
        <f t="shared" si="41"/>
        <v>1983.6883116883116</v>
      </c>
      <c r="AR57" s="21">
        <f t="shared" si="42"/>
        <v>1268.2597402597405</v>
      </c>
      <c r="AS57" s="22">
        <f t="shared" si="43"/>
        <v>30158.52207792208</v>
      </c>
      <c r="AT57" s="21">
        <f t="shared" si="44"/>
        <v>12194.971428571427</v>
      </c>
      <c r="AU57" s="21">
        <f t="shared" si="45"/>
        <v>42353.493506493505</v>
      </c>
      <c r="AV57" s="79" t="s">
        <v>51</v>
      </c>
    </row>
    <row r="58" spans="1:48" ht="22.5" customHeight="1">
      <c r="A58" s="26">
        <v>50</v>
      </c>
      <c r="B58" s="9" t="s">
        <v>52</v>
      </c>
      <c r="C58" s="11">
        <v>594.16</v>
      </c>
      <c r="D58" s="86">
        <f t="shared" si="30"/>
        <v>6.1199994389838865</v>
      </c>
      <c r="E58" s="87">
        <f t="shared" si="31"/>
        <v>0.3000005610161124</v>
      </c>
      <c r="F58" s="87"/>
      <c r="G58" s="87">
        <v>3.26</v>
      </c>
      <c r="H58" s="87">
        <v>1.08</v>
      </c>
      <c r="I58" s="87">
        <v>0.78</v>
      </c>
      <c r="J58" s="87">
        <v>0.61</v>
      </c>
      <c r="K58" s="87">
        <v>0.39</v>
      </c>
      <c r="L58" s="109">
        <v>12.54</v>
      </c>
      <c r="M58" s="87">
        <v>3.75</v>
      </c>
      <c r="N58" s="87">
        <f t="shared" si="32"/>
        <v>16.29</v>
      </c>
      <c r="O58" s="13">
        <f t="shared" si="33"/>
        <v>21819.26397129186</v>
      </c>
      <c r="P58" s="13">
        <v>1069.49</v>
      </c>
      <c r="Q58" s="13">
        <f t="shared" si="46"/>
        <v>0</v>
      </c>
      <c r="R58" s="13">
        <f t="shared" si="47"/>
        <v>11622.63830940989</v>
      </c>
      <c r="S58" s="13">
        <f t="shared" si="48"/>
        <v>3850.4445933014363</v>
      </c>
      <c r="T58" s="13">
        <f t="shared" si="49"/>
        <v>2780.876650717704</v>
      </c>
      <c r="U58" s="13">
        <f t="shared" si="50"/>
        <v>2174.7881499202554</v>
      </c>
      <c r="V58" s="13">
        <f t="shared" si="51"/>
        <v>1390.438325358852</v>
      </c>
      <c r="W58" s="13">
        <v>44707.94</v>
      </c>
      <c r="X58" s="13">
        <v>13369.79</v>
      </c>
      <c r="Y58" s="15">
        <f t="shared" si="34"/>
        <v>58077.73</v>
      </c>
      <c r="Z58" s="15">
        <f t="shared" si="35"/>
        <v>25902.814019138747</v>
      </c>
      <c r="AA58" s="13">
        <v>1069.49</v>
      </c>
      <c r="AB58" s="15"/>
      <c r="AC58" s="13">
        <f t="shared" si="52"/>
        <v>13696.216682615632</v>
      </c>
      <c r="AD58" s="13">
        <f t="shared" si="53"/>
        <v>4537.396937799044</v>
      </c>
      <c r="AE58" s="13">
        <f t="shared" si="54"/>
        <v>3277.008899521532</v>
      </c>
      <c r="AF58" s="13">
        <f t="shared" si="55"/>
        <v>2562.7890111642746</v>
      </c>
      <c r="AG58" s="13">
        <f t="shared" si="56"/>
        <v>1638.504449760766</v>
      </c>
      <c r="AH58" s="16">
        <v>52684.22</v>
      </c>
      <c r="AI58" s="4">
        <v>12675.51</v>
      </c>
      <c r="AJ58" s="15">
        <f t="shared" si="36"/>
        <v>65359.73</v>
      </c>
      <c r="AK58" s="21">
        <v>2024</v>
      </c>
      <c r="AL58" s="13">
        <v>1069.49</v>
      </c>
      <c r="AM58" s="21">
        <f t="shared" si="37"/>
        <v>0</v>
      </c>
      <c r="AN58" s="21">
        <f t="shared" si="38"/>
        <v>11069.179342295132</v>
      </c>
      <c r="AO58" s="21">
        <f t="shared" si="39"/>
        <v>3667.0900888585106</v>
      </c>
      <c r="AP58" s="21">
        <f t="shared" si="40"/>
        <v>2648.4539530644797</v>
      </c>
      <c r="AQ58" s="21">
        <f t="shared" si="41"/>
        <v>2071.2268094478623</v>
      </c>
      <c r="AR58" s="21">
        <f t="shared" si="42"/>
        <v>1324.2269765322399</v>
      </c>
      <c r="AS58" s="22">
        <f t="shared" si="43"/>
        <v>23873.667170198227</v>
      </c>
      <c r="AT58" s="21">
        <f t="shared" si="44"/>
        <v>12733.133333333333</v>
      </c>
      <c r="AU58" s="21">
        <f t="shared" si="45"/>
        <v>36606.80050353156</v>
      </c>
      <c r="AV58" s="79" t="s">
        <v>52</v>
      </c>
    </row>
    <row r="59" spans="1:48" ht="22.5" customHeight="1">
      <c r="A59" s="26">
        <v>51</v>
      </c>
      <c r="B59" s="9" t="s">
        <v>53</v>
      </c>
      <c r="C59" s="11">
        <v>389.14</v>
      </c>
      <c r="D59" s="86">
        <f t="shared" si="30"/>
        <v>6.120000856589743</v>
      </c>
      <c r="E59" s="87">
        <f t="shared" si="31"/>
        <v>0.29999914341025513</v>
      </c>
      <c r="F59" s="87"/>
      <c r="G59" s="87">
        <v>3.26</v>
      </c>
      <c r="H59" s="87">
        <v>1.08</v>
      </c>
      <c r="I59" s="87">
        <v>0.78</v>
      </c>
      <c r="J59" s="87">
        <v>0.61</v>
      </c>
      <c r="K59" s="87">
        <v>0.39</v>
      </c>
      <c r="L59" s="109">
        <v>12.54</v>
      </c>
      <c r="M59" s="87">
        <v>3.75</v>
      </c>
      <c r="N59" s="87">
        <f t="shared" si="32"/>
        <v>16.29</v>
      </c>
      <c r="O59" s="13">
        <f t="shared" si="33"/>
        <v>14289.236315789474</v>
      </c>
      <c r="P59" s="13">
        <v>700.45</v>
      </c>
      <c r="Q59" s="13">
        <f>F59*C59*12</f>
        <v>0</v>
      </c>
      <c r="R59" s="13">
        <f t="shared" si="47"/>
        <v>7611.585263157895</v>
      </c>
      <c r="S59" s="13">
        <f t="shared" si="48"/>
        <v>2521.6294736842106</v>
      </c>
      <c r="T59" s="13">
        <f t="shared" si="49"/>
        <v>1821.1768421052632</v>
      </c>
      <c r="U59" s="13">
        <f t="shared" si="50"/>
        <v>1424.2536842105262</v>
      </c>
      <c r="V59" s="13">
        <f t="shared" si="51"/>
        <v>910.5884210526316</v>
      </c>
      <c r="W59" s="13">
        <v>29278.92</v>
      </c>
      <c r="X59" s="13">
        <v>8755.68</v>
      </c>
      <c r="Y59" s="15">
        <f t="shared" si="34"/>
        <v>38034.6</v>
      </c>
      <c r="Z59" s="15">
        <f t="shared" si="35"/>
        <v>13862.081052631576</v>
      </c>
      <c r="AA59" s="13">
        <v>700.45</v>
      </c>
      <c r="AB59" s="15"/>
      <c r="AC59" s="13">
        <f t="shared" si="52"/>
        <v>7394.680877192982</v>
      </c>
      <c r="AD59" s="13">
        <f t="shared" si="53"/>
        <v>2449.7715789473687</v>
      </c>
      <c r="AE59" s="13">
        <f t="shared" si="54"/>
        <v>1769.2794736842106</v>
      </c>
      <c r="AF59" s="13">
        <f t="shared" si="55"/>
        <v>1383.6672807017544</v>
      </c>
      <c r="AG59" s="13">
        <f t="shared" si="56"/>
        <v>884.6397368421053</v>
      </c>
      <c r="AH59" s="16">
        <v>28444.57</v>
      </c>
      <c r="AI59" s="4">
        <v>7722.83</v>
      </c>
      <c r="AJ59" s="15">
        <f t="shared" si="36"/>
        <v>36167.4</v>
      </c>
      <c r="AK59" s="21">
        <v>3687</v>
      </c>
      <c r="AL59" s="13">
        <v>700.45</v>
      </c>
      <c r="AM59" s="21">
        <f t="shared" si="37"/>
        <v>0</v>
      </c>
      <c r="AN59" s="21">
        <f t="shared" si="38"/>
        <v>7249.128822055138</v>
      </c>
      <c r="AO59" s="21">
        <f t="shared" si="39"/>
        <v>2401.551879699248</v>
      </c>
      <c r="AP59" s="21">
        <f t="shared" si="40"/>
        <v>1734.4541353383458</v>
      </c>
      <c r="AQ59" s="21">
        <f t="shared" si="41"/>
        <v>1356.432080200501</v>
      </c>
      <c r="AR59" s="21">
        <f t="shared" si="42"/>
        <v>867.2270676691729</v>
      </c>
      <c r="AS59" s="22">
        <f t="shared" si="43"/>
        <v>17996.243984962406</v>
      </c>
      <c r="AT59" s="21">
        <f t="shared" si="44"/>
        <v>8338.742857142857</v>
      </c>
      <c r="AU59" s="21">
        <f t="shared" si="45"/>
        <v>26334.986842105263</v>
      </c>
      <c r="AV59" s="79" t="s">
        <v>53</v>
      </c>
    </row>
    <row r="60" spans="1:48" ht="22.5" customHeight="1" thickBot="1">
      <c r="A60" s="26">
        <v>52</v>
      </c>
      <c r="B60" s="9" t="s">
        <v>54</v>
      </c>
      <c r="C60" s="11">
        <v>1187.41</v>
      </c>
      <c r="D60" s="86">
        <f t="shared" si="30"/>
        <v>6.1199997192769695</v>
      </c>
      <c r="E60" s="87">
        <f t="shared" si="31"/>
        <v>0.30000028072303025</v>
      </c>
      <c r="F60" s="87"/>
      <c r="G60" s="87">
        <v>3.26</v>
      </c>
      <c r="H60" s="87">
        <v>1.08</v>
      </c>
      <c r="I60" s="87">
        <v>0.78</v>
      </c>
      <c r="J60" s="87">
        <v>0.61</v>
      </c>
      <c r="K60" s="87">
        <v>0.39</v>
      </c>
      <c r="L60" s="109">
        <v>12.54</v>
      </c>
      <c r="M60" s="87">
        <v>3.75</v>
      </c>
      <c r="N60" s="87">
        <f t="shared" si="32"/>
        <v>16.29</v>
      </c>
      <c r="O60" s="13">
        <f t="shared" si="33"/>
        <v>43841.96277511961</v>
      </c>
      <c r="P60" s="13">
        <v>2137.34</v>
      </c>
      <c r="Q60" s="13">
        <f>F60*C60*6</f>
        <v>0</v>
      </c>
      <c r="R60" s="13">
        <f t="shared" si="47"/>
        <v>23347.745645933013</v>
      </c>
      <c r="S60" s="13">
        <f t="shared" si="48"/>
        <v>7734.835980861244</v>
      </c>
      <c r="T60" s="13">
        <f t="shared" si="49"/>
        <v>5586.270430622009</v>
      </c>
      <c r="U60" s="13">
        <f t="shared" si="50"/>
        <v>4368.74995215311</v>
      </c>
      <c r="V60" s="13">
        <f t="shared" si="51"/>
        <v>2793.1352153110047</v>
      </c>
      <c r="W60" s="13">
        <v>89810.04</v>
      </c>
      <c r="X60" s="13">
        <v>26857.5</v>
      </c>
      <c r="Y60" s="15">
        <f t="shared" si="34"/>
        <v>116667.54</v>
      </c>
      <c r="Z60" s="15">
        <f t="shared" si="35"/>
        <v>39877.80732057416</v>
      </c>
      <c r="AA60" s="13">
        <v>2137.34</v>
      </c>
      <c r="AB60" s="15"/>
      <c r="AC60" s="13">
        <f t="shared" si="52"/>
        <v>21334.794433811803</v>
      </c>
      <c r="AD60" s="13">
        <f t="shared" si="53"/>
        <v>7067.9687081339725</v>
      </c>
      <c r="AE60" s="13">
        <f t="shared" si="54"/>
        <v>5104.6440669856465</v>
      </c>
      <c r="AF60" s="13">
        <f t="shared" si="55"/>
        <v>3992.0934370015952</v>
      </c>
      <c r="AG60" s="13">
        <f t="shared" si="56"/>
        <v>2552.3220334928233</v>
      </c>
      <c r="AH60" s="16">
        <v>82066.97</v>
      </c>
      <c r="AI60" s="4">
        <v>24537.43</v>
      </c>
      <c r="AJ60" s="15">
        <f t="shared" si="36"/>
        <v>106604.4</v>
      </c>
      <c r="AK60" s="21">
        <v>89390.8</v>
      </c>
      <c r="AL60" s="13">
        <v>2137.34</v>
      </c>
      <c r="AM60" s="21">
        <f t="shared" si="37"/>
        <v>0</v>
      </c>
      <c r="AN60" s="21">
        <f t="shared" si="38"/>
        <v>22235.948234221916</v>
      </c>
      <c r="AO60" s="21">
        <f t="shared" si="39"/>
        <v>7366.510457963089</v>
      </c>
      <c r="AP60" s="21">
        <f t="shared" si="40"/>
        <v>5320.257552973342</v>
      </c>
      <c r="AQ60" s="21">
        <f t="shared" si="41"/>
        <v>4160.714240145819</v>
      </c>
      <c r="AR60" s="21">
        <f t="shared" si="42"/>
        <v>2660.128776486671</v>
      </c>
      <c r="AS60" s="22">
        <f t="shared" si="43"/>
        <v>133271.69926179084</v>
      </c>
      <c r="AT60" s="21">
        <f t="shared" si="44"/>
        <v>25578.571428571428</v>
      </c>
      <c r="AU60" s="21">
        <f t="shared" si="45"/>
        <v>158850.27069036226</v>
      </c>
      <c r="AV60" s="79" t="s">
        <v>54</v>
      </c>
    </row>
    <row r="61" spans="1:48" s="137" customFormat="1" ht="22.5" customHeight="1" thickBot="1">
      <c r="A61" s="26">
        <v>53</v>
      </c>
      <c r="B61" s="27" t="s">
        <v>55</v>
      </c>
      <c r="C61" s="28">
        <v>1252.7</v>
      </c>
      <c r="D61" s="86">
        <f t="shared" si="30"/>
        <v>6.999999999999997</v>
      </c>
      <c r="E61" s="87">
        <f t="shared" si="31"/>
        <v>0.3</v>
      </c>
      <c r="F61" s="168">
        <v>7.55</v>
      </c>
      <c r="G61" s="167">
        <v>3.26</v>
      </c>
      <c r="H61" s="167">
        <v>1.08</v>
      </c>
      <c r="I61" s="167">
        <v>0.78</v>
      </c>
      <c r="J61" s="167">
        <v>0.61</v>
      </c>
      <c r="K61" s="167">
        <v>0.39</v>
      </c>
      <c r="L61" s="220">
        <v>20.97</v>
      </c>
      <c r="M61" s="167">
        <v>3.75</v>
      </c>
      <c r="N61" s="167">
        <f t="shared" si="32"/>
        <v>24.72</v>
      </c>
      <c r="O61" s="13">
        <f t="shared" si="33"/>
        <v>54474.30680972814</v>
      </c>
      <c r="P61" s="30">
        <v>2254.86</v>
      </c>
      <c r="Q61" s="154">
        <f>W61/20.97*7.55</f>
        <v>58671.946494992844</v>
      </c>
      <c r="R61" s="13">
        <f>W61/20.97*3.26</f>
        <v>25333.847095851215</v>
      </c>
      <c r="S61" s="13">
        <f>W61/20.97*1.08</f>
        <v>8392.80824034335</v>
      </c>
      <c r="T61" s="13">
        <f>W61/20.97*0.78</f>
        <v>6061.472618025751</v>
      </c>
      <c r="U61" s="13">
        <f>W61/20.97*0.61</f>
        <v>4740.38243204578</v>
      </c>
      <c r="V61" s="13">
        <f>W61/20.97*0.39</f>
        <v>3030.7363090128756</v>
      </c>
      <c r="W61" s="30">
        <v>162960.36</v>
      </c>
      <c r="X61" s="30">
        <v>28636.74</v>
      </c>
      <c r="Y61" s="15">
        <f t="shared" si="34"/>
        <v>191597.09999999998</v>
      </c>
      <c r="Z61" s="15">
        <f t="shared" si="35"/>
        <v>58195.409575584184</v>
      </c>
      <c r="AA61" s="30">
        <v>2254.86</v>
      </c>
      <c r="AB61" s="13">
        <f>AH61/20.97*7.55</f>
        <v>62520.48428707677</v>
      </c>
      <c r="AC61" s="13">
        <f>AH61/20.97*3.26</f>
        <v>26995.59983786361</v>
      </c>
      <c r="AD61" s="13">
        <f>AH61/20.97*1.08</f>
        <v>8943.327553648069</v>
      </c>
      <c r="AE61" s="13">
        <f>AH61/20.97*0.78</f>
        <v>6459.069899856938</v>
      </c>
      <c r="AF61" s="13">
        <f>AH61/20.97*0.61</f>
        <v>5051.323896041964</v>
      </c>
      <c r="AG61" s="13">
        <f>AH61/20.97*0.39</f>
        <v>3229.534949928469</v>
      </c>
      <c r="AH61" s="32">
        <v>173649.61</v>
      </c>
      <c r="AI61" s="31">
        <v>28298.42</v>
      </c>
      <c r="AJ61" s="15">
        <f t="shared" si="36"/>
        <v>201948.02999999997</v>
      </c>
      <c r="AK61" s="68">
        <v>23977</v>
      </c>
      <c r="AL61" s="30">
        <v>2254.86</v>
      </c>
      <c r="AM61" s="68">
        <f>Q61/1.05</f>
        <v>55878.04428094556</v>
      </c>
      <c r="AN61" s="21">
        <f t="shared" si="38"/>
        <v>24127.473424620202</v>
      </c>
      <c r="AO61" s="68">
        <f t="shared" si="39"/>
        <v>7993.150705088903</v>
      </c>
      <c r="AP61" s="68">
        <f t="shared" si="40"/>
        <v>5772.831064786429</v>
      </c>
      <c r="AQ61" s="68">
        <f t="shared" si="41"/>
        <v>4514.6499352816945</v>
      </c>
      <c r="AR61" s="68">
        <f t="shared" si="42"/>
        <v>2886.4155323932146</v>
      </c>
      <c r="AS61" s="22">
        <f t="shared" si="43"/>
        <v>127404.42494311601</v>
      </c>
      <c r="AT61" s="68">
        <f t="shared" si="44"/>
        <v>27273.085714285713</v>
      </c>
      <c r="AU61" s="21">
        <f t="shared" si="45"/>
        <v>154677.51065740173</v>
      </c>
      <c r="AV61" s="136" t="s">
        <v>55</v>
      </c>
    </row>
    <row r="62" spans="1:48" ht="22.5" customHeight="1">
      <c r="A62" s="26">
        <v>54</v>
      </c>
      <c r="B62" s="9" t="s">
        <v>56</v>
      </c>
      <c r="C62" s="12">
        <v>676.5</v>
      </c>
      <c r="D62" s="86">
        <f t="shared" si="30"/>
        <v>6.118620349839861</v>
      </c>
      <c r="E62" s="87">
        <f t="shared" si="31"/>
        <v>0.30137965016013796</v>
      </c>
      <c r="F62" s="87"/>
      <c r="G62" s="87">
        <v>3.26</v>
      </c>
      <c r="H62" s="87">
        <v>1.08</v>
      </c>
      <c r="I62" s="87">
        <v>0.78</v>
      </c>
      <c r="J62" s="87">
        <v>0.61</v>
      </c>
      <c r="K62" s="87">
        <v>0.39</v>
      </c>
      <c r="L62" s="109">
        <v>12.54</v>
      </c>
      <c r="M62" s="87">
        <v>3.75</v>
      </c>
      <c r="N62" s="87">
        <f t="shared" si="32"/>
        <v>16.29</v>
      </c>
      <c r="O62" s="13">
        <f t="shared" si="33"/>
        <v>24835.480000000003</v>
      </c>
      <c r="P62" s="13">
        <v>1223.3</v>
      </c>
      <c r="Q62" s="13">
        <f>F62*C62*6</f>
        <v>0</v>
      </c>
      <c r="R62" s="13">
        <f t="shared" si="47"/>
        <v>13232.34</v>
      </c>
      <c r="S62" s="13">
        <f t="shared" si="48"/>
        <v>4383.720000000001</v>
      </c>
      <c r="T62" s="13">
        <f t="shared" si="49"/>
        <v>3166.0200000000004</v>
      </c>
      <c r="U62" s="13">
        <f t="shared" si="50"/>
        <v>2475.9900000000002</v>
      </c>
      <c r="V62" s="13">
        <f t="shared" si="51"/>
        <v>1583.0100000000002</v>
      </c>
      <c r="W62" s="13">
        <v>50899.86</v>
      </c>
      <c r="X62" s="13">
        <v>15221.46</v>
      </c>
      <c r="Y62" s="15">
        <f t="shared" si="34"/>
        <v>66121.32</v>
      </c>
      <c r="Z62" s="15">
        <f t="shared" si="35"/>
        <v>39162.86191387559</v>
      </c>
      <c r="AA62" s="13">
        <v>1223.3</v>
      </c>
      <c r="AB62" s="15"/>
      <c r="AC62" s="13">
        <f>AH62/12.54*3.26</f>
        <v>20507.61492822966</v>
      </c>
      <c r="AD62" s="13">
        <f>AH62/12.54*1.08</f>
        <v>6793.933779904306</v>
      </c>
      <c r="AE62" s="13">
        <f>AH62/12.54*0.78</f>
        <v>4906.7299521531095</v>
      </c>
      <c r="AF62" s="13">
        <f>AH62/12.54*0.61</f>
        <v>3837.3144497607655</v>
      </c>
      <c r="AG62" s="13">
        <f t="shared" si="56"/>
        <v>2453.3649760765547</v>
      </c>
      <c r="AH62" s="16">
        <v>78885.12</v>
      </c>
      <c r="AI62" s="4">
        <v>18084.16</v>
      </c>
      <c r="AJ62" s="15">
        <f>AH62+AI62</f>
        <v>96969.28</v>
      </c>
      <c r="AK62" s="21">
        <v>4978.4</v>
      </c>
      <c r="AL62" s="13">
        <v>1223.3</v>
      </c>
      <c r="AM62" s="21">
        <f t="shared" si="37"/>
        <v>0</v>
      </c>
      <c r="AN62" s="21">
        <f t="shared" si="38"/>
        <v>12602.228571428572</v>
      </c>
      <c r="AO62" s="21">
        <f t="shared" si="39"/>
        <v>4174.97142857143</v>
      </c>
      <c r="AP62" s="21">
        <f t="shared" si="40"/>
        <v>3015.257142857143</v>
      </c>
      <c r="AQ62" s="21">
        <f t="shared" si="41"/>
        <v>2358.0857142857144</v>
      </c>
      <c r="AR62" s="21">
        <f t="shared" si="42"/>
        <v>1507.6285714285716</v>
      </c>
      <c r="AS62" s="22">
        <f t="shared" si="43"/>
        <v>29859.87142857143</v>
      </c>
      <c r="AT62" s="21">
        <f t="shared" si="44"/>
        <v>14496.62857142857</v>
      </c>
      <c r="AU62" s="21">
        <f t="shared" si="45"/>
        <v>44356.5</v>
      </c>
      <c r="AV62" s="79" t="s">
        <v>56</v>
      </c>
    </row>
    <row r="63" spans="1:48" ht="22.5" customHeight="1">
      <c r="A63" s="26">
        <v>55</v>
      </c>
      <c r="B63" s="9" t="s">
        <v>57</v>
      </c>
      <c r="C63" s="11">
        <v>285</v>
      </c>
      <c r="D63" s="86">
        <f t="shared" si="30"/>
        <v>6.119999999999998</v>
      </c>
      <c r="E63" s="87">
        <f t="shared" si="31"/>
        <v>0.3</v>
      </c>
      <c r="F63" s="87"/>
      <c r="G63" s="87">
        <v>3.26</v>
      </c>
      <c r="H63" s="87">
        <v>1.08</v>
      </c>
      <c r="I63" s="87">
        <v>0.78</v>
      </c>
      <c r="J63" s="87">
        <v>0.61</v>
      </c>
      <c r="K63" s="87">
        <v>0.39</v>
      </c>
      <c r="L63" s="109">
        <v>12.54</v>
      </c>
      <c r="M63" s="87">
        <v>3.75</v>
      </c>
      <c r="N63" s="87">
        <f t="shared" si="32"/>
        <v>16.29</v>
      </c>
      <c r="O63" s="13">
        <f t="shared" si="33"/>
        <v>10465.200000000004</v>
      </c>
      <c r="P63" s="13">
        <v>513</v>
      </c>
      <c r="Q63" s="13">
        <f>F63*C63*6</f>
        <v>0</v>
      </c>
      <c r="R63" s="13">
        <f t="shared" si="47"/>
        <v>5574.6</v>
      </c>
      <c r="S63" s="13">
        <f t="shared" si="48"/>
        <v>1846.8000000000004</v>
      </c>
      <c r="T63" s="13">
        <f t="shared" si="49"/>
        <v>1333.8000000000002</v>
      </c>
      <c r="U63" s="13">
        <f t="shared" si="50"/>
        <v>1043.1000000000001</v>
      </c>
      <c r="V63" s="13">
        <f t="shared" si="51"/>
        <v>666.9000000000001</v>
      </c>
      <c r="W63" s="13">
        <v>21443.4</v>
      </c>
      <c r="X63" s="13">
        <v>6412.62</v>
      </c>
      <c r="Y63" s="15">
        <f t="shared" si="34"/>
        <v>27856.02</v>
      </c>
      <c r="Z63" s="15">
        <f t="shared" si="35"/>
        <v>10643.746650717701</v>
      </c>
      <c r="AA63" s="13">
        <v>513</v>
      </c>
      <c r="AB63" s="15"/>
      <c r="AC63" s="13">
        <f>AH63/12.54*3.26</f>
        <v>5665.263875598086</v>
      </c>
      <c r="AD63" s="13">
        <f>AH63/12.54*1.08</f>
        <v>1876.8358851674645</v>
      </c>
      <c r="AE63" s="13">
        <f>AH63/12.54*0.78</f>
        <v>1355.4925837320577</v>
      </c>
      <c r="AF63" s="13">
        <f>AH63/12.54*0.61</f>
        <v>1060.0647129186605</v>
      </c>
      <c r="AG63" s="13">
        <f t="shared" si="56"/>
        <v>677.7462918660289</v>
      </c>
      <c r="AH63" s="16">
        <v>21792.15</v>
      </c>
      <c r="AI63" s="4">
        <v>5911.39</v>
      </c>
      <c r="AJ63" s="15">
        <f t="shared" si="36"/>
        <v>27703.54</v>
      </c>
      <c r="AK63" s="21"/>
      <c r="AL63" s="13">
        <v>513</v>
      </c>
      <c r="AM63" s="21">
        <f t="shared" si="37"/>
        <v>0</v>
      </c>
      <c r="AN63" s="21">
        <f t="shared" si="38"/>
        <v>5309.142857142857</v>
      </c>
      <c r="AO63" s="21">
        <f t="shared" si="39"/>
        <v>1758.8571428571431</v>
      </c>
      <c r="AP63" s="21">
        <f t="shared" si="40"/>
        <v>1270.2857142857144</v>
      </c>
      <c r="AQ63" s="21">
        <f t="shared" si="41"/>
        <v>993.4285714285716</v>
      </c>
      <c r="AR63" s="21">
        <f t="shared" si="42"/>
        <v>635.1428571428572</v>
      </c>
      <c r="AS63" s="22">
        <f t="shared" si="43"/>
        <v>10479.857142857143</v>
      </c>
      <c r="AT63" s="21">
        <f t="shared" si="44"/>
        <v>6107.257142857143</v>
      </c>
      <c r="AU63" s="21">
        <f t="shared" si="45"/>
        <v>16587.114285714284</v>
      </c>
      <c r="AV63" s="79" t="s">
        <v>57</v>
      </c>
    </row>
    <row r="64" spans="1:48" s="145" customFormat="1" ht="22.5" customHeight="1">
      <c r="A64" s="26">
        <v>56</v>
      </c>
      <c r="B64" s="10" t="s">
        <v>98</v>
      </c>
      <c r="C64" s="12">
        <v>726.91</v>
      </c>
      <c r="D64" s="86">
        <f t="shared" si="30"/>
        <v>6.06320204702095</v>
      </c>
      <c r="E64" s="87">
        <f t="shared" si="31"/>
        <v>0.35679795297904837</v>
      </c>
      <c r="F64" s="142"/>
      <c r="G64" s="87">
        <v>3.26</v>
      </c>
      <c r="H64" s="87">
        <v>1.08</v>
      </c>
      <c r="I64" s="87">
        <v>0.78</v>
      </c>
      <c r="J64" s="87">
        <v>0.61</v>
      </c>
      <c r="K64" s="87">
        <v>0.39</v>
      </c>
      <c r="L64" s="109">
        <v>12.54</v>
      </c>
      <c r="M64" s="87">
        <v>3.75</v>
      </c>
      <c r="N64" s="87">
        <f t="shared" si="32"/>
        <v>16.29</v>
      </c>
      <c r="O64" s="13">
        <f>W64-U64-T64-S64-R64-Q64-P64-V64</f>
        <v>26446.405550239226</v>
      </c>
      <c r="P64" s="41">
        <v>1556.16</v>
      </c>
      <c r="Q64" s="41">
        <f>F64*C64*6</f>
        <v>0</v>
      </c>
      <c r="R64" s="13">
        <f t="shared" si="47"/>
        <v>14219.37129186603</v>
      </c>
      <c r="S64" s="13">
        <f t="shared" si="48"/>
        <v>4710.711961722489</v>
      </c>
      <c r="T64" s="13">
        <f t="shared" si="49"/>
        <v>3402.1808612440195</v>
      </c>
      <c r="U64" s="13">
        <f t="shared" si="50"/>
        <v>2660.67990430622</v>
      </c>
      <c r="V64" s="13">
        <f t="shared" si="51"/>
        <v>1701.0904306220098</v>
      </c>
      <c r="W64" s="41">
        <v>54696.6</v>
      </c>
      <c r="X64" s="41">
        <v>16356.78</v>
      </c>
      <c r="Y64" s="15">
        <f t="shared" si="34"/>
        <v>71053.38</v>
      </c>
      <c r="Z64" s="15">
        <f t="shared" si="35"/>
        <v>26252.909617224872</v>
      </c>
      <c r="AA64" s="41">
        <v>1556.16</v>
      </c>
      <c r="AB64" s="43"/>
      <c r="AC64" s="13">
        <f>AH64/12.54*3.26</f>
        <v>14121.116347687403</v>
      </c>
      <c r="AD64" s="13">
        <f>AH64/12.54*1.08</f>
        <v>4678.16124401914</v>
      </c>
      <c r="AE64" s="13">
        <f>AH64/12.54*0.78</f>
        <v>3378.6720095693786</v>
      </c>
      <c r="AF64" s="13">
        <f>AH64/12.54*0.61</f>
        <v>2642.294776714514</v>
      </c>
      <c r="AG64" s="13">
        <f t="shared" si="56"/>
        <v>1689.3360047846893</v>
      </c>
      <c r="AH64" s="77">
        <v>54318.65</v>
      </c>
      <c r="AI64" s="42">
        <v>16024.04</v>
      </c>
      <c r="AJ64" s="15">
        <f t="shared" si="36"/>
        <v>70342.69</v>
      </c>
      <c r="AK64" s="144"/>
      <c r="AL64" s="41">
        <v>1556.16</v>
      </c>
      <c r="AM64" s="144">
        <f t="shared" si="37"/>
        <v>0</v>
      </c>
      <c r="AN64" s="21">
        <f t="shared" si="38"/>
        <v>13542.258373205741</v>
      </c>
      <c r="AO64" s="144">
        <f t="shared" si="39"/>
        <v>4486.392344497608</v>
      </c>
      <c r="AP64" s="144">
        <f t="shared" si="40"/>
        <v>3240.172248803828</v>
      </c>
      <c r="AQ64" s="144">
        <f t="shared" si="41"/>
        <v>2533.9808612440193</v>
      </c>
      <c r="AR64" s="144">
        <f t="shared" si="42"/>
        <v>1620.086124401914</v>
      </c>
      <c r="AS64" s="22">
        <f>SUM(AK64:AQ64)+AR64</f>
        <v>26979.049952153113</v>
      </c>
      <c r="AT64" s="21">
        <f t="shared" si="44"/>
        <v>15577.885714285714</v>
      </c>
      <c r="AU64" s="21">
        <f t="shared" si="45"/>
        <v>42556.935666438825</v>
      </c>
      <c r="AV64" s="80" t="s">
        <v>58</v>
      </c>
    </row>
    <row r="65" spans="1:48" ht="22.5" customHeight="1" thickBot="1">
      <c r="A65" s="39"/>
      <c r="B65" s="10"/>
      <c r="C65" s="10"/>
      <c r="D65" s="93"/>
      <c r="E65" s="91"/>
      <c r="F65" s="91"/>
      <c r="G65" s="91"/>
      <c r="H65" s="91"/>
      <c r="I65" s="91"/>
      <c r="J65" s="91"/>
      <c r="K65" s="91"/>
      <c r="L65" s="92"/>
      <c r="M65" s="87"/>
      <c r="N65" s="87"/>
      <c r="O65" s="13"/>
      <c r="P65" s="41">
        <f>E65*C65*6</f>
        <v>0</v>
      </c>
      <c r="Q65" s="41">
        <f>F65*C65*6</f>
        <v>0</v>
      </c>
      <c r="R65" s="13">
        <f>W65/11.3*2.7</f>
        <v>0</v>
      </c>
      <c r="S65" s="41">
        <f>J65*C65*6</f>
        <v>0</v>
      </c>
      <c r="T65" s="41">
        <f>K65*C65*6</f>
        <v>0</v>
      </c>
      <c r="U65" s="13"/>
      <c r="V65" s="42"/>
      <c r="W65" s="13"/>
      <c r="X65" s="13"/>
      <c r="Y65" s="15">
        <f t="shared" si="34"/>
        <v>0</v>
      </c>
      <c r="Z65" s="15"/>
      <c r="AA65" s="41">
        <f>Q65*O65*6</f>
        <v>0</v>
      </c>
      <c r="AB65" s="8"/>
      <c r="AC65" s="8"/>
      <c r="AD65" s="8"/>
      <c r="AE65" s="15"/>
      <c r="AF65" s="101"/>
      <c r="AG65" s="15"/>
      <c r="AH65" s="77"/>
      <c r="AI65" s="8"/>
      <c r="AJ65" s="15">
        <f>AH65+AI65</f>
        <v>0</v>
      </c>
      <c r="AK65" s="44"/>
      <c r="AL65" s="41">
        <f>AB65*Z65*6</f>
        <v>0</v>
      </c>
      <c r="AM65" s="44"/>
      <c r="AN65" s="44"/>
      <c r="AO65" s="44"/>
      <c r="AP65" s="73"/>
      <c r="AQ65" s="21">
        <f>U65/1.05</f>
        <v>0</v>
      </c>
      <c r="AR65" s="21"/>
      <c r="AS65" s="74">
        <f>SUM(AK65:AQ65)</f>
        <v>0</v>
      </c>
      <c r="AT65" s="8"/>
      <c r="AU65" s="21">
        <f t="shared" si="45"/>
        <v>0</v>
      </c>
      <c r="AV65" s="80" t="s">
        <v>66</v>
      </c>
    </row>
    <row r="66" spans="3:47" ht="12.75">
      <c r="C66" s="3">
        <f>SUM(C6:C65)</f>
        <v>36677.03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>
        <f>SUM(O6:O65)</f>
        <v>1169429.6756109365</v>
      </c>
      <c r="P66" s="19">
        <f aca="true" t="shared" si="57" ref="P66:V66">SUM(P6:P65)</f>
        <v>85131.03000000001</v>
      </c>
      <c r="Q66" s="19">
        <f t="shared" si="57"/>
        <v>263920.0673895189</v>
      </c>
      <c r="R66" s="19">
        <f t="shared" si="57"/>
        <v>706164.8131729597</v>
      </c>
      <c r="S66" s="19">
        <f t="shared" si="57"/>
        <v>233944.17123521373</v>
      </c>
      <c r="T66" s="19">
        <f t="shared" si="57"/>
        <v>168959.6792254321</v>
      </c>
      <c r="U66" s="18">
        <f t="shared" si="57"/>
        <v>132135.13375322256</v>
      </c>
      <c r="V66" s="18">
        <f t="shared" si="57"/>
        <v>84479.83961271605</v>
      </c>
      <c r="W66" s="70">
        <f>SUM(W6:W65)</f>
        <v>2844164.4099999988</v>
      </c>
      <c r="X66" s="70">
        <f>SUM(X6:X65)</f>
        <v>803860.5000000001</v>
      </c>
      <c r="Y66" s="70">
        <f>SUM(Y6:Y65)</f>
        <v>3648024.91</v>
      </c>
      <c r="Z66" s="20">
        <f>SUM(Z6:Z65)</f>
        <v>1106652.7413943731</v>
      </c>
      <c r="AA66" s="20">
        <f>SUM(AA6:AA65)</f>
        <v>85131.03000000001</v>
      </c>
      <c r="AB66" s="75">
        <f aca="true" t="shared" si="58" ref="AB66:AG66">SUM(AB6:AB65)</f>
        <v>239692.09560216355</v>
      </c>
      <c r="AC66" s="75">
        <f t="shared" si="58"/>
        <v>662364.0156848518</v>
      </c>
      <c r="AD66" s="75">
        <f t="shared" si="58"/>
        <v>219433.47758884655</v>
      </c>
      <c r="AE66" s="75">
        <f t="shared" si="58"/>
        <v>158479.73381416692</v>
      </c>
      <c r="AF66" s="75">
        <f t="shared" si="58"/>
        <v>123939.27900851515</v>
      </c>
      <c r="AG66" s="75">
        <f t="shared" si="58"/>
        <v>79239.86690708346</v>
      </c>
      <c r="AH66" s="76">
        <f>SUM(AH9:AH65)+AH8+AH7+AH6</f>
        <v>2674932.24</v>
      </c>
      <c r="AI66" s="74">
        <f aca="true" t="shared" si="59" ref="AI66:AR66">SUM(AI6:AI65)</f>
        <v>731445.62</v>
      </c>
      <c r="AJ66" s="74">
        <f>SUM(AJ6:AJ65)</f>
        <v>3406377.8599999994</v>
      </c>
      <c r="AK66" s="74">
        <f t="shared" si="59"/>
        <v>703314.4</v>
      </c>
      <c r="AL66" s="74">
        <f t="shared" si="59"/>
        <v>85131.03000000001</v>
      </c>
      <c r="AM66" s="74">
        <f t="shared" si="59"/>
        <v>223311.52721056598</v>
      </c>
      <c r="AN66" s="72">
        <f t="shared" si="59"/>
        <v>672537.9173075809</v>
      </c>
      <c r="AO66" s="72">
        <f t="shared" si="59"/>
        <v>222803.97260496544</v>
      </c>
      <c r="AP66" s="72">
        <f t="shared" si="59"/>
        <v>160913.98021469728</v>
      </c>
      <c r="AQ66" s="72">
        <f t="shared" si="59"/>
        <v>125842.9845268786</v>
      </c>
      <c r="AR66" s="72">
        <f t="shared" si="59"/>
        <v>80456.99010734864</v>
      </c>
      <c r="AS66" s="73">
        <f>SUM(AS6:AS65)</f>
        <v>2274312.8019720367</v>
      </c>
      <c r="AT66" s="73">
        <f>SUM(AT6:AT65)</f>
        <v>765581.4285714285</v>
      </c>
      <c r="AU66" s="73">
        <f>SUM(AU6:AU65)</f>
        <v>3039894.230543465</v>
      </c>
    </row>
    <row r="67" spans="23:47" ht="12.75" customHeight="1">
      <c r="W67" s="18"/>
      <c r="X67" s="18"/>
      <c r="Y67" s="18"/>
      <c r="AA67" s="54"/>
      <c r="AB67" s="54"/>
      <c r="AC67" s="54"/>
      <c r="AD67" s="54"/>
      <c r="AE67" s="54"/>
      <c r="AF67" s="54"/>
      <c r="AG67" s="54"/>
      <c r="AH67" s="72"/>
      <c r="AK67" s="54"/>
      <c r="AL67" s="54"/>
      <c r="AM67" s="54">
        <v>253718</v>
      </c>
      <c r="AN67" s="54"/>
      <c r="AO67" s="54"/>
      <c r="AP67" s="54"/>
      <c r="AQ67" s="54"/>
      <c r="AR67" s="54" t="s">
        <v>130</v>
      </c>
      <c r="AS67" s="72"/>
      <c r="AT67" s="17">
        <f>AT66+AS66</f>
        <v>3039894.2305434654</v>
      </c>
      <c r="AU67" s="17"/>
    </row>
    <row r="68" spans="23:46" ht="12.75">
      <c r="W68" s="57"/>
      <c r="X68" s="57"/>
      <c r="Y68" s="57"/>
      <c r="AH68" s="17"/>
      <c r="AI68" s="57"/>
      <c r="AJ68" s="57"/>
      <c r="AL68">
        <v>49622</v>
      </c>
      <c r="AM68" t="s">
        <v>134</v>
      </c>
      <c r="AO68" s="71"/>
      <c r="AR68" t="s">
        <v>131</v>
      </c>
      <c r="AS68" t="s">
        <v>111</v>
      </c>
      <c r="AT68">
        <v>3973.9</v>
      </c>
    </row>
    <row r="69" spans="24:46" ht="12.75">
      <c r="X69" s="57"/>
      <c r="Y69" s="57"/>
      <c r="AG69" t="s">
        <v>129</v>
      </c>
      <c r="AH69" s="78"/>
      <c r="AI69" s="17">
        <f>AI66+AH66</f>
        <v>3406377.8600000003</v>
      </c>
      <c r="AJ69" s="17"/>
      <c r="AL69">
        <v>35509.26</v>
      </c>
      <c r="AM69" t="s">
        <v>133</v>
      </c>
      <c r="AR69" t="s">
        <v>132</v>
      </c>
      <c r="AT69">
        <v>343.7</v>
      </c>
    </row>
    <row r="70" spans="1:39" ht="12.75">
      <c r="A70" t="s">
        <v>85</v>
      </c>
      <c r="D70">
        <v>13.11</v>
      </c>
      <c r="W70" t="s">
        <v>111</v>
      </c>
      <c r="X70">
        <v>3630825</v>
      </c>
      <c r="AH70" s="38" t="s">
        <v>204</v>
      </c>
      <c r="AI70">
        <v>3421495</v>
      </c>
      <c r="AL70">
        <f>SUM(AL68:AL69)</f>
        <v>85131.26000000001</v>
      </c>
      <c r="AM70" t="s">
        <v>135</v>
      </c>
    </row>
    <row r="71" spans="1:4" ht="12.75">
      <c r="A71" t="s">
        <v>86</v>
      </c>
      <c r="D71" s="17">
        <v>15.06</v>
      </c>
    </row>
    <row r="72" spans="1:35" ht="12.75">
      <c r="A72" t="s">
        <v>87</v>
      </c>
      <c r="D72">
        <v>24.74</v>
      </c>
      <c r="AH72">
        <f>AH66/10*12</f>
        <v>3209918.6880000005</v>
      </c>
      <c r="AI72" t="s">
        <v>67</v>
      </c>
    </row>
  </sheetData>
  <sheetProtection/>
  <mergeCells count="20">
    <mergeCell ref="AK37:AS37"/>
    <mergeCell ref="Z4:AH4"/>
    <mergeCell ref="AI4:AI5"/>
    <mergeCell ref="AI37:AI38"/>
    <mergeCell ref="B36:B38"/>
    <mergeCell ref="C36:C38"/>
    <mergeCell ref="D36:K37"/>
    <mergeCell ref="B3:B5"/>
    <mergeCell ref="C3:C5"/>
    <mergeCell ref="D3:K4"/>
    <mergeCell ref="O36:U37"/>
    <mergeCell ref="Z36:AT36"/>
    <mergeCell ref="Z37:AH37"/>
    <mergeCell ref="O3:U4"/>
    <mergeCell ref="Z3:AT3"/>
    <mergeCell ref="AV3:AV5"/>
    <mergeCell ref="AV36:AV38"/>
    <mergeCell ref="AT37:AT38"/>
    <mergeCell ref="AK4:AS4"/>
    <mergeCell ref="AT4:AT5"/>
  </mergeCells>
  <printOptions/>
  <pageMargins left="0" right="0" top="0" bottom="0" header="0.5118110236220472" footer="0.5118110236220472"/>
  <pageSetup horizontalDpi="600" verticalDpi="600" orientation="landscape" pageOrder="overThenDown" paperSize="9" scale="67" r:id="rId1"/>
  <rowBreaks count="1" manualBreakCount="1">
    <brk id="35" max="57" man="1"/>
  </rowBreaks>
  <colBreaks count="1" manualBreakCount="1">
    <brk id="30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R68"/>
  <sheetViews>
    <sheetView view="pageBreakPreview" zoomScale="96" zoomScaleSheetLayoutView="96" zoomScalePageLayoutView="0" workbookViewId="0" topLeftCell="A1">
      <pane xSplit="2" ySplit="4" topLeftCell="C5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H27" sqref="H27"/>
    </sheetView>
  </sheetViews>
  <sheetFormatPr defaultColWidth="9.00390625" defaultRowHeight="12.75"/>
  <cols>
    <col min="1" max="1" width="5.50390625" style="0" customWidth="1"/>
    <col min="2" max="2" width="16.125" style="0" customWidth="1"/>
    <col min="11" max="11" width="11.625" style="0" customWidth="1"/>
    <col min="24" max="24" width="10.375" style="0" customWidth="1"/>
    <col min="34" max="34" width="10.625" style="0" customWidth="1"/>
    <col min="45" max="45" width="10.125" style="0" customWidth="1"/>
    <col min="90" max="90" width="10.50390625" style="0" customWidth="1"/>
    <col min="91" max="91" width="12.125" style="0" customWidth="1"/>
    <col min="92" max="92" width="16.50390625" style="0" customWidth="1"/>
    <col min="93" max="93" width="10.50390625" style="0" customWidth="1"/>
    <col min="94" max="94" width="11.375" style="0" customWidth="1"/>
    <col min="95" max="95" width="10.875" style="0" customWidth="1"/>
    <col min="96" max="96" width="11.375" style="0" customWidth="1"/>
  </cols>
  <sheetData>
    <row r="1" spans="2:81" ht="17.25">
      <c r="B1" s="1"/>
      <c r="C1" s="1"/>
      <c r="D1" s="1"/>
      <c r="E1" s="1"/>
      <c r="F1" s="1"/>
      <c r="G1" s="1"/>
      <c r="H1" s="1"/>
      <c r="I1" s="1"/>
      <c r="J1" s="1"/>
      <c r="K1" s="1" t="s">
        <v>78</v>
      </c>
      <c r="L1" s="1"/>
      <c r="M1" s="7"/>
      <c r="N1" s="7"/>
      <c r="O1" s="7"/>
      <c r="R1" s="82" t="s">
        <v>164</v>
      </c>
      <c r="S1" s="82"/>
      <c r="T1" s="82"/>
      <c r="U1" s="82"/>
      <c r="V1" s="82"/>
      <c r="AA1" s="82" t="s">
        <v>164</v>
      </c>
      <c r="AI1" s="82" t="s">
        <v>164</v>
      </c>
      <c r="AW1" s="82" t="s">
        <v>164</v>
      </c>
      <c r="BI1" s="82" t="s">
        <v>164</v>
      </c>
      <c r="CC1" s="82" t="s">
        <v>164</v>
      </c>
    </row>
    <row r="2" spans="1:90" ht="12.75" customHeight="1">
      <c r="A2" s="23"/>
      <c r="B2" s="224" t="s">
        <v>0</v>
      </c>
      <c r="C2" s="231" t="s">
        <v>1</v>
      </c>
      <c r="D2" s="162"/>
      <c r="E2" s="163"/>
      <c r="F2" s="163"/>
      <c r="G2" s="163"/>
      <c r="H2" s="163"/>
      <c r="I2" s="163" t="s">
        <v>165</v>
      </c>
      <c r="J2" s="234"/>
      <c r="K2" s="258"/>
      <c r="L2" s="237" t="s">
        <v>69</v>
      </c>
      <c r="M2" s="224"/>
      <c r="N2" s="224"/>
      <c r="O2" s="224"/>
      <c r="P2" s="224" t="s">
        <v>71</v>
      </c>
      <c r="Q2" s="224"/>
      <c r="R2" s="224"/>
      <c r="S2" s="224"/>
      <c r="T2" s="224"/>
      <c r="U2" s="224"/>
      <c r="V2" s="224"/>
      <c r="W2" s="224"/>
      <c r="X2" s="224"/>
      <c r="Y2" s="232" t="s">
        <v>73</v>
      </c>
      <c r="Z2" s="233"/>
      <c r="AA2" s="233"/>
      <c r="AB2" s="233"/>
      <c r="AC2" s="233"/>
      <c r="AD2" s="233"/>
      <c r="AE2" s="233"/>
      <c r="AF2" s="233"/>
      <c r="AG2" s="233"/>
      <c r="AH2" s="256"/>
      <c r="AI2" s="232" t="s">
        <v>74</v>
      </c>
      <c r="AJ2" s="233"/>
      <c r="AK2" s="233"/>
      <c r="AL2" s="233"/>
      <c r="AM2" s="233"/>
      <c r="AN2" s="232" t="s">
        <v>75</v>
      </c>
      <c r="AO2" s="233"/>
      <c r="AP2" s="233"/>
      <c r="AQ2" s="233"/>
      <c r="AR2" s="233"/>
      <c r="AS2" s="256"/>
      <c r="AT2" s="224"/>
      <c r="AU2" s="224"/>
      <c r="AV2" s="224"/>
      <c r="AW2" s="224"/>
      <c r="AX2" s="224"/>
      <c r="AY2" s="224"/>
      <c r="AZ2" s="224" t="s">
        <v>79</v>
      </c>
      <c r="BA2" s="224"/>
      <c r="BB2" s="224"/>
      <c r="BC2" s="232" t="s">
        <v>214</v>
      </c>
      <c r="BD2" s="233"/>
      <c r="BE2" s="233"/>
      <c r="BF2" s="233"/>
      <c r="BG2" s="233"/>
      <c r="BH2" s="233"/>
      <c r="BI2" s="233"/>
      <c r="BJ2" s="256"/>
      <c r="BK2" s="232" t="s">
        <v>99</v>
      </c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56"/>
      <c r="CA2" s="233" t="s">
        <v>76</v>
      </c>
      <c r="CB2" s="256"/>
      <c r="CC2" s="233" t="s">
        <v>229</v>
      </c>
      <c r="CD2" s="233"/>
      <c r="CE2" s="233"/>
      <c r="CF2" s="233"/>
      <c r="CG2" s="233"/>
      <c r="CH2" s="233"/>
      <c r="CI2" s="233"/>
      <c r="CJ2" s="233"/>
      <c r="CK2" s="233"/>
      <c r="CL2" s="256"/>
    </row>
    <row r="3" spans="1:90" ht="12.75" customHeight="1">
      <c r="A3" s="25"/>
      <c r="B3" s="230"/>
      <c r="C3" s="231"/>
      <c r="D3" s="164"/>
      <c r="E3" s="218"/>
      <c r="F3" s="218"/>
      <c r="G3" s="218"/>
      <c r="H3" s="218"/>
      <c r="I3" s="218"/>
      <c r="J3" s="236"/>
      <c r="K3" s="259"/>
      <c r="L3" s="237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38"/>
      <c r="Z3" s="239"/>
      <c r="AA3" s="239"/>
      <c r="AB3" s="239"/>
      <c r="AC3" s="239"/>
      <c r="AD3" s="239"/>
      <c r="AE3" s="239"/>
      <c r="AF3" s="239"/>
      <c r="AG3" s="239"/>
      <c r="AH3" s="257"/>
      <c r="AI3" s="238"/>
      <c r="AJ3" s="239"/>
      <c r="AK3" s="239"/>
      <c r="AL3" s="239"/>
      <c r="AM3" s="239"/>
      <c r="AN3" s="238"/>
      <c r="AO3" s="239"/>
      <c r="AP3" s="239"/>
      <c r="AQ3" s="239"/>
      <c r="AR3" s="239"/>
      <c r="AS3" s="257"/>
      <c r="AT3" s="224"/>
      <c r="AU3" s="224"/>
      <c r="AV3" s="224"/>
      <c r="AW3" s="224"/>
      <c r="AX3" s="224"/>
      <c r="AY3" s="224"/>
      <c r="AZ3" s="224"/>
      <c r="BA3" s="224"/>
      <c r="BB3" s="224"/>
      <c r="BC3" s="238"/>
      <c r="BD3" s="239"/>
      <c r="BE3" s="239"/>
      <c r="BF3" s="239"/>
      <c r="BG3" s="239"/>
      <c r="BH3" s="239"/>
      <c r="BI3" s="239"/>
      <c r="BJ3" s="257"/>
      <c r="BK3" s="238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57"/>
      <c r="CA3" s="239"/>
      <c r="CB3" s="257"/>
      <c r="CC3" s="239"/>
      <c r="CD3" s="239"/>
      <c r="CE3" s="239"/>
      <c r="CF3" s="239"/>
      <c r="CG3" s="239"/>
      <c r="CH3" s="239"/>
      <c r="CI3" s="239"/>
      <c r="CJ3" s="239"/>
      <c r="CK3" s="239"/>
      <c r="CL3" s="257"/>
    </row>
    <row r="4" spans="1:95" ht="78.75">
      <c r="A4" s="24" t="s">
        <v>65</v>
      </c>
      <c r="B4" s="230"/>
      <c r="C4" s="224"/>
      <c r="D4" s="146" t="s">
        <v>68</v>
      </c>
      <c r="E4" s="146" t="s">
        <v>170</v>
      </c>
      <c r="F4" s="146" t="s">
        <v>116</v>
      </c>
      <c r="G4" s="146" t="s">
        <v>171</v>
      </c>
      <c r="H4" s="146" t="s">
        <v>172</v>
      </c>
      <c r="I4" s="146" t="s">
        <v>72</v>
      </c>
      <c r="J4" s="146" t="s">
        <v>169</v>
      </c>
      <c r="K4" s="221" t="s">
        <v>70</v>
      </c>
      <c r="L4" s="4" t="s">
        <v>173</v>
      </c>
      <c r="M4" s="4" t="s">
        <v>174</v>
      </c>
      <c r="N4" s="4" t="s">
        <v>175</v>
      </c>
      <c r="O4" s="45" t="s">
        <v>70</v>
      </c>
      <c r="P4" s="4" t="s">
        <v>101</v>
      </c>
      <c r="Q4" s="4" t="s">
        <v>176</v>
      </c>
      <c r="R4" s="4" t="s">
        <v>177</v>
      </c>
      <c r="S4" s="4" t="s">
        <v>178</v>
      </c>
      <c r="T4" s="4" t="s">
        <v>179</v>
      </c>
      <c r="U4" s="4" t="s">
        <v>182</v>
      </c>
      <c r="V4" s="4" t="s">
        <v>181</v>
      </c>
      <c r="W4" s="4" t="s">
        <v>180</v>
      </c>
      <c r="X4" s="45" t="s">
        <v>70</v>
      </c>
      <c r="Y4" s="4" t="s">
        <v>72</v>
      </c>
      <c r="Z4" s="4" t="s">
        <v>183</v>
      </c>
      <c r="AA4" s="4" t="s">
        <v>102</v>
      </c>
      <c r="AB4" s="4" t="s">
        <v>184</v>
      </c>
      <c r="AC4" s="4" t="s">
        <v>188</v>
      </c>
      <c r="AD4" s="4" t="s">
        <v>187</v>
      </c>
      <c r="AE4" s="4" t="s">
        <v>186</v>
      </c>
      <c r="AF4" s="4" t="s">
        <v>140</v>
      </c>
      <c r="AG4" s="4" t="s">
        <v>185</v>
      </c>
      <c r="AH4" s="45" t="s">
        <v>70</v>
      </c>
      <c r="AI4" s="4" t="s">
        <v>189</v>
      </c>
      <c r="AJ4" s="4" t="s">
        <v>190</v>
      </c>
      <c r="AK4" s="4" t="s">
        <v>189</v>
      </c>
      <c r="AL4" s="4" t="s">
        <v>191</v>
      </c>
      <c r="AM4" s="45" t="s">
        <v>70</v>
      </c>
      <c r="AN4" s="51" t="s">
        <v>192</v>
      </c>
      <c r="AO4" s="51" t="s">
        <v>193</v>
      </c>
      <c r="AP4" s="51" t="s">
        <v>97</v>
      </c>
      <c r="AQ4" s="51" t="s">
        <v>195</v>
      </c>
      <c r="AR4" s="51" t="s">
        <v>194</v>
      </c>
      <c r="AS4" s="45" t="s">
        <v>70</v>
      </c>
      <c r="AT4" s="98" t="s">
        <v>95</v>
      </c>
      <c r="AU4" s="98" t="s">
        <v>208</v>
      </c>
      <c r="AV4" s="98" t="s">
        <v>209</v>
      </c>
      <c r="AW4" s="98" t="s">
        <v>210</v>
      </c>
      <c r="AX4" s="98" t="s">
        <v>211</v>
      </c>
      <c r="AY4" s="45" t="s">
        <v>70</v>
      </c>
      <c r="AZ4" s="4" t="s">
        <v>212</v>
      </c>
      <c r="BA4" s="4" t="s">
        <v>213</v>
      </c>
      <c r="BB4" s="45" t="s">
        <v>70</v>
      </c>
      <c r="BC4" s="4" t="s">
        <v>215</v>
      </c>
      <c r="BD4" s="4" t="s">
        <v>191</v>
      </c>
      <c r="BE4" s="4" t="s">
        <v>216</v>
      </c>
      <c r="BF4" s="4" t="s">
        <v>217</v>
      </c>
      <c r="BG4" s="4" t="s">
        <v>218</v>
      </c>
      <c r="BH4" s="4" t="s">
        <v>72</v>
      </c>
      <c r="BI4" s="4" t="s">
        <v>219</v>
      </c>
      <c r="BJ4" s="45" t="s">
        <v>70</v>
      </c>
      <c r="BK4" s="4" t="s">
        <v>100</v>
      </c>
      <c r="BL4" s="4" t="s">
        <v>220</v>
      </c>
      <c r="BM4" s="4" t="s">
        <v>221</v>
      </c>
      <c r="BN4" s="4" t="s">
        <v>178</v>
      </c>
      <c r="BO4" s="4" t="s">
        <v>222</v>
      </c>
      <c r="BP4" s="4" t="s">
        <v>223</v>
      </c>
      <c r="BQ4" s="4" t="s">
        <v>224</v>
      </c>
      <c r="BR4" s="4" t="s">
        <v>102</v>
      </c>
      <c r="BS4" s="4" t="s">
        <v>225</v>
      </c>
      <c r="BT4" s="4" t="s">
        <v>226</v>
      </c>
      <c r="BU4" s="4" t="s">
        <v>95</v>
      </c>
      <c r="BV4" s="4" t="s">
        <v>138</v>
      </c>
      <c r="BW4" s="4" t="s">
        <v>228</v>
      </c>
      <c r="BX4" s="4" t="s">
        <v>139</v>
      </c>
      <c r="BY4" s="4" t="s">
        <v>227</v>
      </c>
      <c r="BZ4" s="45" t="s">
        <v>70</v>
      </c>
      <c r="CA4" s="104"/>
      <c r="CB4" s="55" t="s">
        <v>70</v>
      </c>
      <c r="CC4" s="4" t="s">
        <v>141</v>
      </c>
      <c r="CD4" s="104" t="s">
        <v>230</v>
      </c>
      <c r="CE4" s="104" t="s">
        <v>144</v>
      </c>
      <c r="CF4" s="104" t="s">
        <v>231</v>
      </c>
      <c r="CG4" s="104" t="s">
        <v>233</v>
      </c>
      <c r="CH4" s="104" t="s">
        <v>234</v>
      </c>
      <c r="CI4" s="104" t="s">
        <v>232</v>
      </c>
      <c r="CJ4" s="104" t="s">
        <v>143</v>
      </c>
      <c r="CK4" s="104" t="s">
        <v>101</v>
      </c>
      <c r="CL4" s="55" t="s">
        <v>70</v>
      </c>
      <c r="CM4" s="42" t="s">
        <v>77</v>
      </c>
      <c r="CN4" s="61" t="s">
        <v>64</v>
      </c>
      <c r="CO4" s="61" t="s">
        <v>80</v>
      </c>
      <c r="CP4" s="107" t="s">
        <v>103</v>
      </c>
      <c r="CQ4" s="8" t="s">
        <v>113</v>
      </c>
    </row>
    <row r="5" spans="1:95" ht="21" customHeight="1">
      <c r="A5" s="26">
        <v>1</v>
      </c>
      <c r="B5" s="9" t="s">
        <v>10</v>
      </c>
      <c r="C5" s="11">
        <v>846.55</v>
      </c>
      <c r="D5" s="11"/>
      <c r="E5" s="11"/>
      <c r="F5" s="11"/>
      <c r="G5" s="11"/>
      <c r="H5" s="11"/>
      <c r="I5" s="11"/>
      <c r="J5" s="4"/>
      <c r="K5" s="46">
        <f aca="true" t="shared" si="0" ref="K5:K33">SUM(D5:J5)</f>
        <v>0</v>
      </c>
      <c r="L5" s="13"/>
      <c r="M5" s="13"/>
      <c r="N5" s="13"/>
      <c r="O5" s="45"/>
      <c r="P5" s="13"/>
      <c r="Q5" s="13"/>
      <c r="R5" s="13"/>
      <c r="S5" s="13"/>
      <c r="T5" s="13"/>
      <c r="U5" s="13"/>
      <c r="V5" s="13"/>
      <c r="W5" s="13"/>
      <c r="X5" s="46">
        <f>SUM(P5:W5)</f>
        <v>0</v>
      </c>
      <c r="Y5" s="13"/>
      <c r="Z5" s="13"/>
      <c r="AA5" s="13"/>
      <c r="AB5" s="13"/>
      <c r="AC5" s="13"/>
      <c r="AD5" s="13"/>
      <c r="AE5" s="13"/>
      <c r="AF5" s="13"/>
      <c r="AG5" s="13"/>
      <c r="AH5" s="46">
        <f aca="true" t="shared" si="1" ref="AH5:AH33">SUM(Y5:AG5)</f>
        <v>0</v>
      </c>
      <c r="AI5" s="13"/>
      <c r="AJ5" s="13"/>
      <c r="AK5" s="13"/>
      <c r="AL5" s="13"/>
      <c r="AM5" s="45"/>
      <c r="AN5" s="42"/>
      <c r="AO5" s="42"/>
      <c r="AP5" s="42"/>
      <c r="AQ5" s="42"/>
      <c r="AR5" s="42"/>
      <c r="AS5" s="52">
        <f>SUM(AP5:AR5)</f>
        <v>0</v>
      </c>
      <c r="AT5" s="13"/>
      <c r="AU5" s="13"/>
      <c r="AV5" s="13"/>
      <c r="AW5" s="13"/>
      <c r="AX5" s="13"/>
      <c r="AY5" s="46">
        <f aca="true" t="shared" si="2" ref="AY5:AY33">SUM(AT5:AX5)</f>
        <v>0</v>
      </c>
      <c r="AZ5" s="13"/>
      <c r="BA5" s="13">
        <v>87744</v>
      </c>
      <c r="BB5" s="46">
        <f>SUM(AZ5:BA5)</f>
        <v>87744</v>
      </c>
      <c r="BC5" s="13"/>
      <c r="BD5" s="13"/>
      <c r="BE5" s="13"/>
      <c r="BF5" s="13"/>
      <c r="BG5" s="13"/>
      <c r="BH5" s="13"/>
      <c r="BI5" s="13"/>
      <c r="BJ5" s="45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46">
        <f>SUM(BK5:BL5)</f>
        <v>0</v>
      </c>
      <c r="CA5" s="105"/>
      <c r="CB5" s="56"/>
      <c r="CC5" s="13"/>
      <c r="CD5" s="105"/>
      <c r="CE5" s="105"/>
      <c r="CF5" s="105"/>
      <c r="CG5" s="105"/>
      <c r="CH5" s="105"/>
      <c r="CI5" s="105"/>
      <c r="CJ5" s="105"/>
      <c r="CK5" s="105"/>
      <c r="CL5" s="56">
        <f>SUM(CC5:CK5)</f>
        <v>0</v>
      </c>
      <c r="CM5" s="40">
        <f aca="true" t="shared" si="3" ref="CM5:CM33">K5+O5+X5+AH5+AM5+AS5+AY5+BB5+BJ5+BZ5+CB5+CL5</f>
        <v>87744</v>
      </c>
      <c r="CN5" s="9" t="s">
        <v>10</v>
      </c>
      <c r="CO5" s="9">
        <v>846.55</v>
      </c>
      <c r="CP5" s="117">
        <f aca="true" t="shared" si="4" ref="CP5:CP33">AY5+BB5+BJ5+BZ5+CB5+CL5</f>
        <v>87744</v>
      </c>
      <c r="CQ5" s="40">
        <f aca="true" t="shared" si="5" ref="CQ5:CQ33">K5+O5+X5+AH5+AM5+AS5</f>
        <v>0</v>
      </c>
    </row>
    <row r="6" spans="1:95" ht="21" customHeight="1">
      <c r="A6" s="26">
        <v>2</v>
      </c>
      <c r="B6" s="9" t="s">
        <v>11</v>
      </c>
      <c r="C6" s="11">
        <v>971.52</v>
      </c>
      <c r="D6" s="11"/>
      <c r="E6" s="11"/>
      <c r="F6" s="11"/>
      <c r="G6" s="11"/>
      <c r="H6" s="11"/>
      <c r="I6" s="11">
        <v>6761</v>
      </c>
      <c r="J6" s="14"/>
      <c r="K6" s="46">
        <f t="shared" si="0"/>
        <v>6761</v>
      </c>
      <c r="L6" s="13"/>
      <c r="M6" s="13"/>
      <c r="N6" s="13"/>
      <c r="O6" s="46">
        <f aca="true" t="shared" si="6" ref="O6:O33">SUM(L6:N6)</f>
        <v>0</v>
      </c>
      <c r="P6" s="13"/>
      <c r="Q6" s="13"/>
      <c r="R6" s="13"/>
      <c r="S6" s="13"/>
      <c r="T6" s="13"/>
      <c r="U6" s="13"/>
      <c r="V6" s="13"/>
      <c r="W6" s="13"/>
      <c r="X6" s="46">
        <f>SUM(P6:W6)</f>
        <v>0</v>
      </c>
      <c r="Y6" s="13"/>
      <c r="Z6" s="13"/>
      <c r="AA6" s="13"/>
      <c r="AB6" s="13"/>
      <c r="AC6" s="13"/>
      <c r="AD6" s="13"/>
      <c r="AE6" s="13"/>
      <c r="AF6" s="13"/>
      <c r="AG6" s="13"/>
      <c r="AH6" s="46">
        <f t="shared" si="1"/>
        <v>0</v>
      </c>
      <c r="AI6" s="13">
        <v>4669.3</v>
      </c>
      <c r="AJ6" s="13"/>
      <c r="AK6" s="13"/>
      <c r="AL6" s="13"/>
      <c r="AM6" s="46">
        <f aca="true" t="shared" si="7" ref="AM6:AM33">SUM(AI6:AL6)</f>
        <v>4669.3</v>
      </c>
      <c r="AN6" s="41"/>
      <c r="AO6" s="41"/>
      <c r="AP6" s="41"/>
      <c r="AQ6" s="41"/>
      <c r="AR6" s="41"/>
      <c r="AS6" s="53">
        <f>SUM(AN6:AR6)</f>
        <v>0</v>
      </c>
      <c r="AT6" s="13"/>
      <c r="AU6" s="13"/>
      <c r="AV6" s="13"/>
      <c r="AW6" s="13"/>
      <c r="AX6" s="13"/>
      <c r="AY6" s="46">
        <f t="shared" si="2"/>
        <v>0</v>
      </c>
      <c r="AZ6" s="13"/>
      <c r="BA6" s="13"/>
      <c r="BB6" s="46">
        <f aca="true" t="shared" si="8" ref="BB6:BB33">SUM(AZ6:AZ6)</f>
        <v>0</v>
      </c>
      <c r="BC6" s="13"/>
      <c r="BD6" s="13"/>
      <c r="BE6" s="13"/>
      <c r="BF6" s="13"/>
      <c r="BG6" s="13"/>
      <c r="BH6" s="13"/>
      <c r="BI6" s="13"/>
      <c r="BJ6" s="46">
        <f aca="true" t="shared" si="9" ref="BJ6:BJ30">SUM(BC6:BI6)</f>
        <v>0</v>
      </c>
      <c r="BK6" s="13"/>
      <c r="BL6" s="13"/>
      <c r="BM6" s="13"/>
      <c r="BN6" s="13"/>
      <c r="BO6" s="13"/>
      <c r="BP6" s="13">
        <v>2193.7</v>
      </c>
      <c r="BQ6" s="13"/>
      <c r="BR6" s="13"/>
      <c r="BS6" s="13"/>
      <c r="BT6" s="13"/>
      <c r="BU6" s="13"/>
      <c r="BV6" s="13"/>
      <c r="BW6" s="13"/>
      <c r="BX6" s="13"/>
      <c r="BY6" s="13"/>
      <c r="BZ6" s="46">
        <f>SUM(BK6:BY6)</f>
        <v>2193.7</v>
      </c>
      <c r="CA6" s="105"/>
      <c r="CB6" s="56"/>
      <c r="CC6" s="13"/>
      <c r="CD6" s="105"/>
      <c r="CE6" s="105"/>
      <c r="CF6" s="105"/>
      <c r="CG6" s="105"/>
      <c r="CH6" s="105"/>
      <c r="CI6" s="105"/>
      <c r="CJ6" s="105"/>
      <c r="CK6" s="105"/>
      <c r="CL6" s="56">
        <f aca="true" t="shared" si="10" ref="CL6:CL33">SUM(CC6:CK6)</f>
        <v>0</v>
      </c>
      <c r="CM6" s="40">
        <f t="shared" si="3"/>
        <v>13624</v>
      </c>
      <c r="CN6" s="9" t="s">
        <v>11</v>
      </c>
      <c r="CO6" s="9">
        <v>971.52</v>
      </c>
      <c r="CP6" s="117">
        <f t="shared" si="4"/>
        <v>2193.7</v>
      </c>
      <c r="CQ6" s="40">
        <f t="shared" si="5"/>
        <v>11430.3</v>
      </c>
    </row>
    <row r="7" spans="1:95" ht="21" customHeight="1">
      <c r="A7" s="26">
        <v>3</v>
      </c>
      <c r="B7" s="33" t="s">
        <v>12</v>
      </c>
      <c r="C7" s="34">
        <v>739.2</v>
      </c>
      <c r="D7" s="34"/>
      <c r="E7" s="34"/>
      <c r="F7" s="34"/>
      <c r="G7" s="34"/>
      <c r="H7" s="34"/>
      <c r="I7" s="34"/>
      <c r="J7" s="35"/>
      <c r="K7" s="46">
        <f t="shared" si="0"/>
        <v>0</v>
      </c>
      <c r="L7" s="36"/>
      <c r="M7" s="36"/>
      <c r="N7" s="36"/>
      <c r="O7" s="46">
        <f t="shared" si="6"/>
        <v>0</v>
      </c>
      <c r="P7" s="36"/>
      <c r="Q7" s="36"/>
      <c r="R7" s="36"/>
      <c r="S7" s="36"/>
      <c r="T7" s="36"/>
      <c r="U7" s="36"/>
      <c r="V7" s="36"/>
      <c r="W7" s="36"/>
      <c r="X7" s="46">
        <f aca="true" t="shared" si="11" ref="X7:X64">SUM(P7:W7)</f>
        <v>0</v>
      </c>
      <c r="Y7" s="36"/>
      <c r="Z7" s="36"/>
      <c r="AA7" s="36"/>
      <c r="AB7" s="36"/>
      <c r="AC7" s="36"/>
      <c r="AD7" s="36"/>
      <c r="AE7" s="36"/>
      <c r="AF7" s="36"/>
      <c r="AG7" s="36"/>
      <c r="AH7" s="46">
        <f t="shared" si="1"/>
        <v>0</v>
      </c>
      <c r="AI7" s="36"/>
      <c r="AJ7" s="36"/>
      <c r="AK7" s="36"/>
      <c r="AL7" s="36"/>
      <c r="AM7" s="46">
        <f t="shared" si="7"/>
        <v>0</v>
      </c>
      <c r="AN7" s="41"/>
      <c r="AO7" s="41"/>
      <c r="AP7" s="41"/>
      <c r="AQ7" s="41"/>
      <c r="AR7" s="41"/>
      <c r="AS7" s="52"/>
      <c r="AT7" s="36"/>
      <c r="AU7" s="36"/>
      <c r="AV7" s="36"/>
      <c r="AW7" s="36"/>
      <c r="AX7" s="36"/>
      <c r="AY7" s="46">
        <f t="shared" si="2"/>
        <v>0</v>
      </c>
      <c r="AZ7" s="36"/>
      <c r="BA7" s="36"/>
      <c r="BB7" s="46">
        <f t="shared" si="8"/>
        <v>0</v>
      </c>
      <c r="BC7" s="36"/>
      <c r="BD7" s="36"/>
      <c r="BE7" s="36"/>
      <c r="BF7" s="36"/>
      <c r="BG7" s="36"/>
      <c r="BH7" s="36"/>
      <c r="BI7" s="36"/>
      <c r="BJ7" s="46">
        <f t="shared" si="9"/>
        <v>0</v>
      </c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46">
        <f aca="true" t="shared" si="12" ref="BZ7:BZ33">SUM(BK7:BY7)</f>
        <v>0</v>
      </c>
      <c r="CA7" s="106"/>
      <c r="CB7" s="56"/>
      <c r="CC7" s="36"/>
      <c r="CD7" s="106"/>
      <c r="CE7" s="106"/>
      <c r="CF7" s="106"/>
      <c r="CG7" s="106"/>
      <c r="CH7" s="106"/>
      <c r="CI7" s="106"/>
      <c r="CJ7" s="106"/>
      <c r="CK7" s="106"/>
      <c r="CL7" s="56">
        <f t="shared" si="10"/>
        <v>0</v>
      </c>
      <c r="CM7" s="40">
        <f t="shared" si="3"/>
        <v>0</v>
      </c>
      <c r="CN7" s="33" t="s">
        <v>12</v>
      </c>
      <c r="CO7" s="33">
        <v>739.2</v>
      </c>
      <c r="CP7" s="117">
        <f t="shared" si="4"/>
        <v>0</v>
      </c>
      <c r="CQ7" s="40">
        <f t="shared" si="5"/>
        <v>0</v>
      </c>
    </row>
    <row r="8" spans="1:95" ht="21" customHeight="1">
      <c r="A8" s="26">
        <v>4</v>
      </c>
      <c r="B8" s="33" t="s">
        <v>63</v>
      </c>
      <c r="C8" s="37">
        <v>372</v>
      </c>
      <c r="D8" s="37"/>
      <c r="E8" s="37"/>
      <c r="F8" s="37"/>
      <c r="G8" s="37"/>
      <c r="H8" s="37"/>
      <c r="I8" s="37"/>
      <c r="J8" s="35"/>
      <c r="K8" s="46">
        <f t="shared" si="0"/>
        <v>0</v>
      </c>
      <c r="L8" s="36"/>
      <c r="M8" s="36"/>
      <c r="N8" s="36"/>
      <c r="O8" s="46">
        <f t="shared" si="6"/>
        <v>0</v>
      </c>
      <c r="P8" s="36"/>
      <c r="Q8" s="36"/>
      <c r="R8" s="36"/>
      <c r="S8" s="36"/>
      <c r="T8" s="36"/>
      <c r="U8" s="36"/>
      <c r="V8" s="36"/>
      <c r="W8" s="36"/>
      <c r="X8" s="46">
        <f t="shared" si="11"/>
        <v>0</v>
      </c>
      <c r="Y8" s="36"/>
      <c r="Z8" s="36"/>
      <c r="AA8" s="36"/>
      <c r="AB8" s="36"/>
      <c r="AC8" s="36"/>
      <c r="AD8" s="36"/>
      <c r="AE8" s="36"/>
      <c r="AF8" s="36"/>
      <c r="AG8" s="36"/>
      <c r="AH8" s="46">
        <f t="shared" si="1"/>
        <v>0</v>
      </c>
      <c r="AI8" s="36"/>
      <c r="AJ8" s="36"/>
      <c r="AK8" s="36"/>
      <c r="AL8" s="36"/>
      <c r="AM8" s="46">
        <f t="shared" si="7"/>
        <v>0</v>
      </c>
      <c r="AN8" s="41"/>
      <c r="AO8" s="41"/>
      <c r="AP8" s="41"/>
      <c r="AQ8" s="41"/>
      <c r="AR8" s="41"/>
      <c r="AS8" s="52"/>
      <c r="AT8" s="36"/>
      <c r="AU8" s="36"/>
      <c r="AV8" s="36"/>
      <c r="AW8" s="36"/>
      <c r="AX8" s="36"/>
      <c r="AY8" s="46">
        <f t="shared" si="2"/>
        <v>0</v>
      </c>
      <c r="AZ8" s="36"/>
      <c r="BA8" s="36"/>
      <c r="BB8" s="46">
        <f t="shared" si="8"/>
        <v>0</v>
      </c>
      <c r="BC8" s="36"/>
      <c r="BD8" s="36"/>
      <c r="BE8" s="36"/>
      <c r="BF8" s="36"/>
      <c r="BG8" s="36"/>
      <c r="BH8" s="36"/>
      <c r="BI8" s="36"/>
      <c r="BJ8" s="46">
        <f t="shared" si="9"/>
        <v>0</v>
      </c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46">
        <f t="shared" si="12"/>
        <v>0</v>
      </c>
      <c r="CA8" s="106"/>
      <c r="CB8" s="56"/>
      <c r="CC8" s="36"/>
      <c r="CD8" s="106"/>
      <c r="CE8" s="106"/>
      <c r="CF8" s="106"/>
      <c r="CG8" s="106"/>
      <c r="CH8" s="106"/>
      <c r="CI8" s="106"/>
      <c r="CJ8" s="106"/>
      <c r="CK8" s="106"/>
      <c r="CL8" s="56">
        <f t="shared" si="10"/>
        <v>0</v>
      </c>
      <c r="CM8" s="40">
        <f t="shared" si="3"/>
        <v>0</v>
      </c>
      <c r="CN8" s="33" t="s">
        <v>63</v>
      </c>
      <c r="CO8" s="33">
        <v>372</v>
      </c>
      <c r="CP8" s="117">
        <f t="shared" si="4"/>
        <v>0</v>
      </c>
      <c r="CQ8" s="40">
        <f t="shared" si="5"/>
        <v>0</v>
      </c>
    </row>
    <row r="9" spans="1:95" ht="21" customHeight="1">
      <c r="A9" s="26">
        <v>5</v>
      </c>
      <c r="B9" s="9" t="s">
        <v>13</v>
      </c>
      <c r="C9" s="11">
        <v>565.25</v>
      </c>
      <c r="D9" s="11">
        <v>2006</v>
      </c>
      <c r="E9" s="11"/>
      <c r="F9" s="11"/>
      <c r="G9" s="11"/>
      <c r="H9" s="11"/>
      <c r="I9" s="11"/>
      <c r="J9" s="14"/>
      <c r="K9" s="46">
        <f t="shared" si="0"/>
        <v>2006</v>
      </c>
      <c r="L9" s="13"/>
      <c r="M9" s="13"/>
      <c r="N9" s="13">
        <v>1678</v>
      </c>
      <c r="O9" s="46">
        <f t="shared" si="6"/>
        <v>1678</v>
      </c>
      <c r="P9" s="13"/>
      <c r="Q9" s="13"/>
      <c r="R9" s="13"/>
      <c r="S9" s="13"/>
      <c r="T9" s="13"/>
      <c r="U9" s="13">
        <v>22446</v>
      </c>
      <c r="V9" s="13"/>
      <c r="W9" s="13"/>
      <c r="X9" s="46">
        <f t="shared" si="11"/>
        <v>22446</v>
      </c>
      <c r="Y9" s="13"/>
      <c r="Z9" s="13"/>
      <c r="AA9" s="13"/>
      <c r="AB9" s="13"/>
      <c r="AC9" s="13"/>
      <c r="AD9" s="13"/>
      <c r="AE9" s="13"/>
      <c r="AF9" s="13"/>
      <c r="AG9" s="13"/>
      <c r="AH9" s="46">
        <f t="shared" si="1"/>
        <v>0</v>
      </c>
      <c r="AI9" s="13"/>
      <c r="AJ9" s="13"/>
      <c r="AK9" s="13"/>
      <c r="AL9" s="13"/>
      <c r="AM9" s="46">
        <f t="shared" si="7"/>
        <v>0</v>
      </c>
      <c r="AN9" s="41"/>
      <c r="AO9" s="41"/>
      <c r="AP9" s="41"/>
      <c r="AQ9" s="41"/>
      <c r="AR9" s="41"/>
      <c r="AS9" s="53">
        <f>SUM(AO9:AR9)</f>
        <v>0</v>
      </c>
      <c r="AT9" s="13"/>
      <c r="AU9" s="13"/>
      <c r="AV9" s="13"/>
      <c r="AW9" s="13"/>
      <c r="AX9" s="13"/>
      <c r="AY9" s="46">
        <f t="shared" si="2"/>
        <v>0</v>
      </c>
      <c r="AZ9" s="13"/>
      <c r="BA9" s="13"/>
      <c r="BB9" s="46">
        <f t="shared" si="8"/>
        <v>0</v>
      </c>
      <c r="BC9" s="13"/>
      <c r="BD9" s="13"/>
      <c r="BE9" s="13"/>
      <c r="BF9" s="13"/>
      <c r="BG9" s="13"/>
      <c r="BH9" s="13"/>
      <c r="BI9" s="13"/>
      <c r="BJ9" s="46">
        <f t="shared" si="9"/>
        <v>0</v>
      </c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46">
        <f t="shared" si="12"/>
        <v>0</v>
      </c>
      <c r="CA9" s="105"/>
      <c r="CB9" s="56"/>
      <c r="CC9" s="13"/>
      <c r="CD9" s="105"/>
      <c r="CE9" s="105"/>
      <c r="CF9" s="105"/>
      <c r="CG9" s="105"/>
      <c r="CH9" s="105"/>
      <c r="CI9" s="105"/>
      <c r="CJ9" s="105"/>
      <c r="CK9" s="105"/>
      <c r="CL9" s="56">
        <f t="shared" si="10"/>
        <v>0</v>
      </c>
      <c r="CM9" s="40">
        <f t="shared" si="3"/>
        <v>26130</v>
      </c>
      <c r="CN9" s="9" t="s">
        <v>13</v>
      </c>
      <c r="CO9" s="9">
        <v>565.25</v>
      </c>
      <c r="CP9" s="117">
        <f t="shared" si="4"/>
        <v>0</v>
      </c>
      <c r="CQ9" s="40">
        <f t="shared" si="5"/>
        <v>26130</v>
      </c>
    </row>
    <row r="10" spans="1:95" ht="21" customHeight="1">
      <c r="A10" s="26">
        <v>6</v>
      </c>
      <c r="B10" s="9" t="s">
        <v>14</v>
      </c>
      <c r="C10" s="11">
        <v>571.67</v>
      </c>
      <c r="D10" s="11">
        <v>2010</v>
      </c>
      <c r="E10" s="11"/>
      <c r="F10" s="11"/>
      <c r="G10" s="11"/>
      <c r="H10" s="11"/>
      <c r="I10" s="11"/>
      <c r="J10" s="14"/>
      <c r="K10" s="46">
        <f t="shared" si="0"/>
        <v>2010</v>
      </c>
      <c r="L10" s="13"/>
      <c r="M10" s="13"/>
      <c r="N10" s="13">
        <v>1682</v>
      </c>
      <c r="O10" s="46">
        <f t="shared" si="6"/>
        <v>1682</v>
      </c>
      <c r="P10" s="13"/>
      <c r="Q10" s="13"/>
      <c r="R10" s="13"/>
      <c r="S10" s="13"/>
      <c r="T10" s="13"/>
      <c r="U10" s="13">
        <v>22446</v>
      </c>
      <c r="V10" s="13"/>
      <c r="W10" s="13"/>
      <c r="X10" s="46">
        <f t="shared" si="11"/>
        <v>22446</v>
      </c>
      <c r="Y10" s="13">
        <v>3868.4</v>
      </c>
      <c r="Z10" s="13"/>
      <c r="AA10" s="13"/>
      <c r="AB10" s="13"/>
      <c r="AC10" s="13"/>
      <c r="AD10" s="13"/>
      <c r="AE10" s="13"/>
      <c r="AF10" s="13"/>
      <c r="AG10" s="13"/>
      <c r="AH10" s="46">
        <f t="shared" si="1"/>
        <v>3868.4</v>
      </c>
      <c r="AI10" s="13"/>
      <c r="AJ10" s="13"/>
      <c r="AK10" s="13"/>
      <c r="AL10" s="13"/>
      <c r="AM10" s="46">
        <f t="shared" si="7"/>
        <v>0</v>
      </c>
      <c r="AN10" s="41"/>
      <c r="AO10" s="41"/>
      <c r="AP10" s="41"/>
      <c r="AQ10" s="41"/>
      <c r="AR10" s="41"/>
      <c r="AS10" s="52"/>
      <c r="AT10" s="13"/>
      <c r="AU10" s="13"/>
      <c r="AV10" s="13"/>
      <c r="AW10" s="13"/>
      <c r="AX10" s="13"/>
      <c r="AY10" s="46">
        <f t="shared" si="2"/>
        <v>0</v>
      </c>
      <c r="AZ10" s="13"/>
      <c r="BA10" s="13"/>
      <c r="BB10" s="46">
        <f t="shared" si="8"/>
        <v>0</v>
      </c>
      <c r="BC10" s="13"/>
      <c r="BD10" s="13"/>
      <c r="BE10" s="13"/>
      <c r="BF10" s="13"/>
      <c r="BG10" s="13"/>
      <c r="BH10" s="13"/>
      <c r="BI10" s="13"/>
      <c r="BJ10" s="46">
        <f t="shared" si="9"/>
        <v>0</v>
      </c>
      <c r="BK10" s="13"/>
      <c r="BL10" s="13">
        <v>1232.1</v>
      </c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46">
        <f t="shared" si="12"/>
        <v>1232.1</v>
      </c>
      <c r="CA10" s="105"/>
      <c r="CB10" s="56"/>
      <c r="CC10" s="13"/>
      <c r="CD10" s="105"/>
      <c r="CE10" s="105"/>
      <c r="CF10" s="105"/>
      <c r="CG10" s="105"/>
      <c r="CH10" s="105">
        <v>38548</v>
      </c>
      <c r="CI10" s="105"/>
      <c r="CJ10" s="105"/>
      <c r="CK10" s="105"/>
      <c r="CL10" s="56">
        <f t="shared" si="10"/>
        <v>38548</v>
      </c>
      <c r="CM10" s="40">
        <f t="shared" si="3"/>
        <v>69786.5</v>
      </c>
      <c r="CN10" s="9" t="s">
        <v>14</v>
      </c>
      <c r="CO10" s="9">
        <v>571.67</v>
      </c>
      <c r="CP10" s="117">
        <f t="shared" si="4"/>
        <v>39780.1</v>
      </c>
      <c r="CQ10" s="40">
        <f t="shared" si="5"/>
        <v>30006.4</v>
      </c>
    </row>
    <row r="11" spans="1:95" ht="21" customHeight="1">
      <c r="A11" s="26">
        <v>7</v>
      </c>
      <c r="B11" s="9" t="s">
        <v>15</v>
      </c>
      <c r="C11" s="11">
        <v>570.36</v>
      </c>
      <c r="D11" s="11">
        <v>2009</v>
      </c>
      <c r="E11" s="11"/>
      <c r="F11" s="11"/>
      <c r="G11" s="11"/>
      <c r="H11" s="11"/>
      <c r="I11" s="11"/>
      <c r="J11" s="14"/>
      <c r="K11" s="46">
        <f t="shared" si="0"/>
        <v>2009</v>
      </c>
      <c r="L11" s="13"/>
      <c r="M11" s="13"/>
      <c r="N11" s="13">
        <v>1681</v>
      </c>
      <c r="O11" s="46">
        <f t="shared" si="6"/>
        <v>1681</v>
      </c>
      <c r="P11" s="13"/>
      <c r="Q11" s="13"/>
      <c r="R11" s="13"/>
      <c r="S11" s="13"/>
      <c r="T11" s="13"/>
      <c r="U11" s="13">
        <v>22446</v>
      </c>
      <c r="V11" s="13"/>
      <c r="W11" s="13"/>
      <c r="X11" s="46">
        <f t="shared" si="11"/>
        <v>22446</v>
      </c>
      <c r="Y11" s="13"/>
      <c r="Z11" s="13"/>
      <c r="AA11" s="13"/>
      <c r="AB11" s="13"/>
      <c r="AC11" s="13"/>
      <c r="AD11" s="13"/>
      <c r="AE11" s="13"/>
      <c r="AF11" s="13"/>
      <c r="AG11" s="13"/>
      <c r="AH11" s="46">
        <f t="shared" si="1"/>
        <v>0</v>
      </c>
      <c r="AI11" s="13"/>
      <c r="AJ11" s="13"/>
      <c r="AK11" s="13"/>
      <c r="AL11" s="13"/>
      <c r="AM11" s="46">
        <f t="shared" si="7"/>
        <v>0</v>
      </c>
      <c r="AN11" s="41"/>
      <c r="AO11" s="41"/>
      <c r="AP11" s="41"/>
      <c r="AQ11" s="41"/>
      <c r="AR11" s="41"/>
      <c r="AS11" s="53">
        <f>SUM(AO11:AR11)</f>
        <v>0</v>
      </c>
      <c r="AT11" s="13"/>
      <c r="AU11" s="13"/>
      <c r="AV11" s="13"/>
      <c r="AW11" s="13"/>
      <c r="AX11" s="13"/>
      <c r="AY11" s="46">
        <f t="shared" si="2"/>
        <v>0</v>
      </c>
      <c r="AZ11" s="13"/>
      <c r="BA11" s="13"/>
      <c r="BB11" s="46">
        <f t="shared" si="8"/>
        <v>0</v>
      </c>
      <c r="BC11" s="13"/>
      <c r="BD11" s="13"/>
      <c r="BE11" s="13"/>
      <c r="BF11" s="13"/>
      <c r="BG11" s="13"/>
      <c r="BH11" s="13"/>
      <c r="BI11" s="13"/>
      <c r="BJ11" s="46">
        <f t="shared" si="9"/>
        <v>0</v>
      </c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46">
        <f t="shared" si="12"/>
        <v>0</v>
      </c>
      <c r="CA11" s="105"/>
      <c r="CB11" s="56"/>
      <c r="CC11" s="13"/>
      <c r="CD11" s="105"/>
      <c r="CE11" s="105"/>
      <c r="CF11" s="105"/>
      <c r="CG11" s="105"/>
      <c r="CH11" s="105"/>
      <c r="CI11" s="105"/>
      <c r="CJ11" s="105"/>
      <c r="CK11" s="105"/>
      <c r="CL11" s="56">
        <f t="shared" si="10"/>
        <v>0</v>
      </c>
      <c r="CM11" s="40">
        <f t="shared" si="3"/>
        <v>26136</v>
      </c>
      <c r="CN11" s="9" t="s">
        <v>15</v>
      </c>
      <c r="CO11" s="9">
        <v>570.36</v>
      </c>
      <c r="CP11" s="117">
        <f t="shared" si="4"/>
        <v>0</v>
      </c>
      <c r="CQ11" s="40">
        <f t="shared" si="5"/>
        <v>26136</v>
      </c>
    </row>
    <row r="12" spans="1:95" ht="21" customHeight="1">
      <c r="A12" s="26">
        <v>8</v>
      </c>
      <c r="B12" s="9" t="s">
        <v>16</v>
      </c>
      <c r="C12" s="11">
        <v>295.42</v>
      </c>
      <c r="D12" s="11"/>
      <c r="E12" s="11"/>
      <c r="F12" s="11"/>
      <c r="G12" s="11"/>
      <c r="H12" s="11"/>
      <c r="I12" s="11"/>
      <c r="J12" s="14"/>
      <c r="K12" s="46">
        <f t="shared" si="0"/>
        <v>0</v>
      </c>
      <c r="L12" s="13"/>
      <c r="M12" s="13"/>
      <c r="N12" s="13"/>
      <c r="O12" s="46">
        <f t="shared" si="6"/>
        <v>0</v>
      </c>
      <c r="P12" s="13"/>
      <c r="Q12" s="13"/>
      <c r="R12" s="13"/>
      <c r="S12" s="13"/>
      <c r="T12" s="13"/>
      <c r="U12" s="13"/>
      <c r="V12" s="13"/>
      <c r="W12" s="13"/>
      <c r="X12" s="46">
        <f t="shared" si="11"/>
        <v>0</v>
      </c>
      <c r="Y12" s="13"/>
      <c r="Z12" s="13"/>
      <c r="AA12" s="13"/>
      <c r="AB12" s="13"/>
      <c r="AC12" s="13"/>
      <c r="AD12" s="13"/>
      <c r="AE12" s="13"/>
      <c r="AF12" s="13"/>
      <c r="AG12" s="13"/>
      <c r="AH12" s="46">
        <f t="shared" si="1"/>
        <v>0</v>
      </c>
      <c r="AI12" s="13"/>
      <c r="AJ12" s="13"/>
      <c r="AK12" s="13"/>
      <c r="AL12" s="13"/>
      <c r="AM12" s="46">
        <f t="shared" si="7"/>
        <v>0</v>
      </c>
      <c r="AN12" s="41"/>
      <c r="AO12" s="41"/>
      <c r="AP12" s="41"/>
      <c r="AQ12" s="41"/>
      <c r="AR12" s="41"/>
      <c r="AS12" s="52"/>
      <c r="AT12" s="13"/>
      <c r="AU12" s="13">
        <v>13764</v>
      </c>
      <c r="AV12" s="13"/>
      <c r="AW12" s="13"/>
      <c r="AX12" s="13"/>
      <c r="AY12" s="46">
        <f t="shared" si="2"/>
        <v>13764</v>
      </c>
      <c r="AZ12" s="13"/>
      <c r="BA12" s="13"/>
      <c r="BB12" s="46">
        <f t="shared" si="8"/>
        <v>0</v>
      </c>
      <c r="BC12" s="13"/>
      <c r="BD12" s="13"/>
      <c r="BE12" s="13"/>
      <c r="BF12" s="13"/>
      <c r="BG12" s="13"/>
      <c r="BH12" s="13">
        <v>1651.9</v>
      </c>
      <c r="BI12" s="13"/>
      <c r="BJ12" s="46">
        <f t="shared" si="9"/>
        <v>1651.9</v>
      </c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46">
        <f t="shared" si="12"/>
        <v>0</v>
      </c>
      <c r="CA12" s="105"/>
      <c r="CB12" s="56"/>
      <c r="CC12" s="13"/>
      <c r="CD12" s="105"/>
      <c r="CE12" s="105"/>
      <c r="CF12" s="105"/>
      <c r="CG12" s="105"/>
      <c r="CH12" s="105"/>
      <c r="CI12" s="105"/>
      <c r="CJ12" s="105"/>
      <c r="CK12" s="105"/>
      <c r="CL12" s="56">
        <f t="shared" si="10"/>
        <v>0</v>
      </c>
      <c r="CM12" s="40">
        <f t="shared" si="3"/>
        <v>15415.9</v>
      </c>
      <c r="CN12" s="9" t="s">
        <v>16</v>
      </c>
      <c r="CO12" s="9">
        <v>295.42</v>
      </c>
      <c r="CP12" s="117">
        <f t="shared" si="4"/>
        <v>15415.9</v>
      </c>
      <c r="CQ12" s="40">
        <f t="shared" si="5"/>
        <v>0</v>
      </c>
    </row>
    <row r="13" spans="1:95" ht="21" customHeight="1">
      <c r="A13" s="26">
        <v>9</v>
      </c>
      <c r="B13" s="9" t="s">
        <v>17</v>
      </c>
      <c r="C13" s="11">
        <v>724.96</v>
      </c>
      <c r="D13" s="11">
        <v>2107</v>
      </c>
      <c r="E13" s="11"/>
      <c r="F13" s="11"/>
      <c r="G13" s="11"/>
      <c r="H13" s="11"/>
      <c r="I13" s="11"/>
      <c r="J13" s="14"/>
      <c r="K13" s="46">
        <f t="shared" si="0"/>
        <v>2107</v>
      </c>
      <c r="L13" s="13"/>
      <c r="M13" s="13"/>
      <c r="N13" s="13"/>
      <c r="O13" s="46">
        <f t="shared" si="6"/>
        <v>0</v>
      </c>
      <c r="P13" s="13"/>
      <c r="Q13" s="13"/>
      <c r="R13" s="13"/>
      <c r="S13" s="13"/>
      <c r="T13" s="13"/>
      <c r="U13" s="13"/>
      <c r="V13" s="13"/>
      <c r="W13" s="13"/>
      <c r="X13" s="46">
        <f t="shared" si="11"/>
        <v>0</v>
      </c>
      <c r="Y13" s="13"/>
      <c r="Z13" s="13"/>
      <c r="AA13" s="13"/>
      <c r="AB13" s="13"/>
      <c r="AC13" s="13"/>
      <c r="AD13" s="13"/>
      <c r="AE13" s="13"/>
      <c r="AF13" s="13"/>
      <c r="AG13" s="13"/>
      <c r="AH13" s="46">
        <f t="shared" si="1"/>
        <v>0</v>
      </c>
      <c r="AI13" s="13"/>
      <c r="AJ13" s="13"/>
      <c r="AK13" s="13"/>
      <c r="AL13" s="13"/>
      <c r="AM13" s="46">
        <f t="shared" si="7"/>
        <v>0</v>
      </c>
      <c r="AN13" s="41"/>
      <c r="AO13" s="41"/>
      <c r="AP13" s="41"/>
      <c r="AQ13" s="41"/>
      <c r="AR13" s="41"/>
      <c r="AS13" s="52"/>
      <c r="AT13" s="13"/>
      <c r="AU13" s="13"/>
      <c r="AV13" s="13"/>
      <c r="AW13" s="13"/>
      <c r="AX13" s="13"/>
      <c r="AY13" s="46">
        <f t="shared" si="2"/>
        <v>0</v>
      </c>
      <c r="AZ13" s="13"/>
      <c r="BA13" s="13"/>
      <c r="BB13" s="46">
        <f>SUM(AZ13:BA13)</f>
        <v>0</v>
      </c>
      <c r="BC13" s="13"/>
      <c r="BD13" s="13"/>
      <c r="BE13" s="13"/>
      <c r="BF13" s="13"/>
      <c r="BG13" s="13"/>
      <c r="BH13" s="13"/>
      <c r="BI13" s="13"/>
      <c r="BJ13" s="46">
        <f t="shared" si="9"/>
        <v>0</v>
      </c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46">
        <f t="shared" si="12"/>
        <v>0</v>
      </c>
      <c r="CA13" s="105"/>
      <c r="CB13" s="56"/>
      <c r="CC13" s="13"/>
      <c r="CD13" s="105"/>
      <c r="CE13" s="105"/>
      <c r="CF13" s="105"/>
      <c r="CG13" s="105"/>
      <c r="CH13" s="105"/>
      <c r="CI13" s="105"/>
      <c r="CJ13" s="105"/>
      <c r="CK13" s="105"/>
      <c r="CL13" s="56">
        <f t="shared" si="10"/>
        <v>0</v>
      </c>
      <c r="CM13" s="40">
        <f t="shared" si="3"/>
        <v>2107</v>
      </c>
      <c r="CN13" s="9" t="s">
        <v>17</v>
      </c>
      <c r="CO13" s="9">
        <v>724.96</v>
      </c>
      <c r="CP13" s="117">
        <f t="shared" si="4"/>
        <v>0</v>
      </c>
      <c r="CQ13" s="40">
        <f t="shared" si="5"/>
        <v>2107</v>
      </c>
    </row>
    <row r="14" spans="1:95" ht="21" customHeight="1">
      <c r="A14" s="26">
        <v>10</v>
      </c>
      <c r="B14" s="9" t="s">
        <v>18</v>
      </c>
      <c r="C14" s="11">
        <v>722.5</v>
      </c>
      <c r="D14" s="11">
        <v>2106</v>
      </c>
      <c r="E14" s="11"/>
      <c r="F14" s="11"/>
      <c r="G14" s="11"/>
      <c r="H14" s="11"/>
      <c r="I14" s="11"/>
      <c r="J14" s="14"/>
      <c r="K14" s="46">
        <f t="shared" si="0"/>
        <v>2106</v>
      </c>
      <c r="L14" s="13"/>
      <c r="M14" s="13"/>
      <c r="N14" s="13">
        <v>1777</v>
      </c>
      <c r="O14" s="46">
        <f t="shared" si="6"/>
        <v>1777</v>
      </c>
      <c r="P14" s="13"/>
      <c r="Q14" s="13"/>
      <c r="R14" s="13"/>
      <c r="S14" s="13"/>
      <c r="T14" s="13"/>
      <c r="U14" s="13"/>
      <c r="V14" s="13"/>
      <c r="W14" s="13"/>
      <c r="X14" s="46">
        <f t="shared" si="11"/>
        <v>0</v>
      </c>
      <c r="Y14" s="13"/>
      <c r="Z14" s="13"/>
      <c r="AA14" s="13"/>
      <c r="AB14" s="13"/>
      <c r="AC14" s="13"/>
      <c r="AD14" s="13"/>
      <c r="AE14" s="13"/>
      <c r="AF14" s="13"/>
      <c r="AG14" s="13"/>
      <c r="AH14" s="46">
        <f t="shared" si="1"/>
        <v>0</v>
      </c>
      <c r="AI14" s="13"/>
      <c r="AJ14" s="13"/>
      <c r="AK14" s="13"/>
      <c r="AL14" s="13"/>
      <c r="AM14" s="46">
        <f t="shared" si="7"/>
        <v>0</v>
      </c>
      <c r="AN14" s="41"/>
      <c r="AO14" s="41"/>
      <c r="AP14" s="41"/>
      <c r="AQ14" s="41"/>
      <c r="AR14" s="41"/>
      <c r="AS14" s="52"/>
      <c r="AT14" s="13"/>
      <c r="AU14" s="13"/>
      <c r="AV14" s="13"/>
      <c r="AW14" s="13">
        <v>5491.4</v>
      </c>
      <c r="AX14" s="13">
        <v>433.1</v>
      </c>
      <c r="AY14" s="46">
        <f t="shared" si="2"/>
        <v>5924.5</v>
      </c>
      <c r="AZ14" s="13"/>
      <c r="BA14" s="13"/>
      <c r="BB14" s="46">
        <f t="shared" si="8"/>
        <v>0</v>
      </c>
      <c r="BC14" s="13"/>
      <c r="BD14" s="13"/>
      <c r="BE14" s="13"/>
      <c r="BF14" s="13"/>
      <c r="BG14" s="13"/>
      <c r="BH14" s="13"/>
      <c r="BI14" s="13"/>
      <c r="BJ14" s="46">
        <f t="shared" si="9"/>
        <v>0</v>
      </c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46">
        <f t="shared" si="12"/>
        <v>0</v>
      </c>
      <c r="CA14" s="105"/>
      <c r="CB14" s="56"/>
      <c r="CC14" s="13"/>
      <c r="CD14" s="105"/>
      <c r="CE14" s="105"/>
      <c r="CF14" s="105"/>
      <c r="CG14" s="105"/>
      <c r="CH14" s="105"/>
      <c r="CI14" s="105"/>
      <c r="CJ14" s="105"/>
      <c r="CK14" s="105"/>
      <c r="CL14" s="56">
        <f t="shared" si="10"/>
        <v>0</v>
      </c>
      <c r="CM14" s="40">
        <f t="shared" si="3"/>
        <v>9807.5</v>
      </c>
      <c r="CN14" s="9" t="s">
        <v>18</v>
      </c>
      <c r="CO14" s="9">
        <v>722.5</v>
      </c>
      <c r="CP14" s="117">
        <f t="shared" si="4"/>
        <v>5924.5</v>
      </c>
      <c r="CQ14" s="40">
        <f t="shared" si="5"/>
        <v>3883</v>
      </c>
    </row>
    <row r="15" spans="1:95" ht="21" customHeight="1">
      <c r="A15" s="26">
        <v>11</v>
      </c>
      <c r="B15" s="9" t="s">
        <v>19</v>
      </c>
      <c r="C15" s="11">
        <v>726.09</v>
      </c>
      <c r="D15" s="11">
        <v>2108</v>
      </c>
      <c r="E15" s="11">
        <v>28141</v>
      </c>
      <c r="F15" s="11"/>
      <c r="G15" s="11"/>
      <c r="H15" s="11"/>
      <c r="I15" s="11"/>
      <c r="J15" s="14"/>
      <c r="K15" s="46">
        <f t="shared" si="0"/>
        <v>30249</v>
      </c>
      <c r="L15" s="13"/>
      <c r="M15" s="13"/>
      <c r="N15" s="13">
        <v>1780</v>
      </c>
      <c r="O15" s="46">
        <f t="shared" si="6"/>
        <v>1780</v>
      </c>
      <c r="P15" s="13"/>
      <c r="Q15" s="13"/>
      <c r="R15" s="13"/>
      <c r="S15" s="13"/>
      <c r="T15" s="13"/>
      <c r="U15" s="13"/>
      <c r="V15" s="13"/>
      <c r="W15" s="13"/>
      <c r="X15" s="46">
        <f t="shared" si="11"/>
        <v>0</v>
      </c>
      <c r="Y15" s="13"/>
      <c r="Z15" s="13"/>
      <c r="AA15" s="13"/>
      <c r="AB15" s="13"/>
      <c r="AC15" s="13"/>
      <c r="AD15" s="13"/>
      <c r="AE15" s="13"/>
      <c r="AF15" s="13"/>
      <c r="AG15" s="13"/>
      <c r="AH15" s="46">
        <f t="shared" si="1"/>
        <v>0</v>
      </c>
      <c r="AI15" s="13"/>
      <c r="AJ15" s="13"/>
      <c r="AK15" s="13"/>
      <c r="AL15" s="13"/>
      <c r="AM15" s="46">
        <f t="shared" si="7"/>
        <v>0</v>
      </c>
      <c r="AN15" s="41"/>
      <c r="AO15" s="41"/>
      <c r="AP15" s="41"/>
      <c r="AQ15" s="41"/>
      <c r="AR15" s="41"/>
      <c r="AS15" s="52"/>
      <c r="AT15" s="13"/>
      <c r="AU15" s="13">
        <v>121568</v>
      </c>
      <c r="AV15" s="13"/>
      <c r="AW15" s="13">
        <v>5493.7</v>
      </c>
      <c r="AX15" s="13">
        <v>433.1</v>
      </c>
      <c r="AY15" s="46">
        <f t="shared" si="2"/>
        <v>127494.8</v>
      </c>
      <c r="AZ15" s="13"/>
      <c r="BA15" s="13"/>
      <c r="BB15" s="46">
        <f t="shared" si="8"/>
        <v>0</v>
      </c>
      <c r="BC15" s="13"/>
      <c r="BD15" s="13"/>
      <c r="BE15" s="13"/>
      <c r="BF15" s="13"/>
      <c r="BG15" s="13"/>
      <c r="BH15" s="13"/>
      <c r="BI15" s="13"/>
      <c r="BJ15" s="46">
        <f t="shared" si="9"/>
        <v>0</v>
      </c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46">
        <f t="shared" si="12"/>
        <v>0</v>
      </c>
      <c r="CA15" s="105"/>
      <c r="CB15" s="56"/>
      <c r="CC15" s="13"/>
      <c r="CD15" s="105"/>
      <c r="CE15" s="105"/>
      <c r="CF15" s="105"/>
      <c r="CG15" s="105"/>
      <c r="CH15" s="105"/>
      <c r="CI15" s="105"/>
      <c r="CJ15" s="105"/>
      <c r="CK15" s="105"/>
      <c r="CL15" s="56">
        <f t="shared" si="10"/>
        <v>0</v>
      </c>
      <c r="CM15" s="40">
        <f t="shared" si="3"/>
        <v>159523.8</v>
      </c>
      <c r="CN15" s="9" t="s">
        <v>19</v>
      </c>
      <c r="CO15" s="9">
        <v>726.09</v>
      </c>
      <c r="CP15" s="117">
        <f t="shared" si="4"/>
        <v>127494.8</v>
      </c>
      <c r="CQ15" s="40">
        <f t="shared" si="5"/>
        <v>32029</v>
      </c>
    </row>
    <row r="16" spans="1:95" ht="21" customHeight="1">
      <c r="A16" s="26">
        <v>12</v>
      </c>
      <c r="B16" s="9" t="s">
        <v>20</v>
      </c>
      <c r="C16" s="11">
        <v>754.14</v>
      </c>
      <c r="D16" s="11">
        <v>2126</v>
      </c>
      <c r="E16" s="11"/>
      <c r="F16" s="11"/>
      <c r="G16" s="11"/>
      <c r="H16" s="11"/>
      <c r="I16" s="11"/>
      <c r="J16" s="14"/>
      <c r="K16" s="46">
        <f t="shared" si="0"/>
        <v>2126</v>
      </c>
      <c r="L16" s="13"/>
      <c r="M16" s="13"/>
      <c r="N16" s="13">
        <v>1798</v>
      </c>
      <c r="O16" s="46">
        <f t="shared" si="6"/>
        <v>1798</v>
      </c>
      <c r="P16" s="13"/>
      <c r="R16" s="13"/>
      <c r="S16" s="13"/>
      <c r="T16" s="13"/>
      <c r="U16" s="13"/>
      <c r="V16" s="13"/>
      <c r="W16" s="13"/>
      <c r="X16" s="46">
        <f t="shared" si="11"/>
        <v>0</v>
      </c>
      <c r="Y16" s="13"/>
      <c r="Z16" s="58"/>
      <c r="AA16" s="58"/>
      <c r="AB16" s="58"/>
      <c r="AC16" s="58"/>
      <c r="AD16" s="58"/>
      <c r="AE16" s="58"/>
      <c r="AF16" s="58">
        <v>3944.3</v>
      </c>
      <c r="AG16" s="58">
        <v>4164</v>
      </c>
      <c r="AH16" s="46">
        <f t="shared" si="1"/>
        <v>8108.3</v>
      </c>
      <c r="AI16" s="13"/>
      <c r="AJ16" s="58"/>
      <c r="AK16" s="58"/>
      <c r="AL16" s="58"/>
      <c r="AM16" s="46">
        <f t="shared" si="7"/>
        <v>0</v>
      </c>
      <c r="AN16" s="41"/>
      <c r="AO16" s="41"/>
      <c r="AP16" s="41"/>
      <c r="AQ16" s="41"/>
      <c r="AR16" s="41"/>
      <c r="AS16" s="53">
        <f>SUM(AN16:AR16)</f>
        <v>0</v>
      </c>
      <c r="AT16" s="13"/>
      <c r="AU16" s="13"/>
      <c r="AV16" s="13"/>
      <c r="AW16" s="13"/>
      <c r="AX16" s="13"/>
      <c r="AY16" s="46">
        <f t="shared" si="2"/>
        <v>0</v>
      </c>
      <c r="AZ16" s="13"/>
      <c r="BA16" s="13"/>
      <c r="BB16" s="46">
        <f t="shared" si="8"/>
        <v>0</v>
      </c>
      <c r="BC16" s="13"/>
      <c r="BD16" s="58"/>
      <c r="BE16" s="58"/>
      <c r="BF16" s="58"/>
      <c r="BG16" s="58"/>
      <c r="BH16" s="58"/>
      <c r="BI16" s="58"/>
      <c r="BJ16" s="46">
        <f t="shared" si="9"/>
        <v>0</v>
      </c>
      <c r="BK16" s="13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46">
        <f t="shared" si="12"/>
        <v>0</v>
      </c>
      <c r="CB16" s="56"/>
      <c r="CL16" s="56">
        <f t="shared" si="10"/>
        <v>0</v>
      </c>
      <c r="CM16" s="40">
        <f t="shared" si="3"/>
        <v>12032.3</v>
      </c>
      <c r="CN16" s="9" t="s">
        <v>20</v>
      </c>
      <c r="CO16" s="9">
        <v>754.14</v>
      </c>
      <c r="CP16" s="117">
        <f t="shared" si="4"/>
        <v>0</v>
      </c>
      <c r="CQ16" s="40">
        <f t="shared" si="5"/>
        <v>12032.3</v>
      </c>
    </row>
    <row r="17" spans="1:95" ht="21" customHeight="1">
      <c r="A17" s="26">
        <v>13</v>
      </c>
      <c r="B17" s="9" t="s">
        <v>21</v>
      </c>
      <c r="C17" s="11">
        <v>742.94</v>
      </c>
      <c r="D17" s="11">
        <v>2119</v>
      </c>
      <c r="E17" s="11"/>
      <c r="F17" s="11"/>
      <c r="G17" s="11"/>
      <c r="H17" s="11">
        <v>2160</v>
      </c>
      <c r="I17" s="11"/>
      <c r="J17" s="14"/>
      <c r="K17" s="46">
        <f t="shared" si="0"/>
        <v>4279</v>
      </c>
      <c r="L17" s="13"/>
      <c r="M17" s="13"/>
      <c r="N17" s="13">
        <v>1790</v>
      </c>
      <c r="O17" s="46">
        <f t="shared" si="6"/>
        <v>1790</v>
      </c>
      <c r="P17" s="13"/>
      <c r="Q17" s="13"/>
      <c r="R17" s="13"/>
      <c r="S17" s="13"/>
      <c r="T17" s="13"/>
      <c r="U17" s="13"/>
      <c r="V17" s="13"/>
      <c r="W17" s="13"/>
      <c r="X17" s="46">
        <f t="shared" si="11"/>
        <v>0</v>
      </c>
      <c r="Y17" s="13"/>
      <c r="Z17" s="13"/>
      <c r="AA17" s="13"/>
      <c r="AB17" s="13"/>
      <c r="AC17" s="13"/>
      <c r="AD17" s="13"/>
      <c r="AE17" s="13"/>
      <c r="AF17" s="13"/>
      <c r="AG17" s="13"/>
      <c r="AH17" s="46">
        <f t="shared" si="1"/>
        <v>0</v>
      </c>
      <c r="AI17" s="13"/>
      <c r="AJ17" s="13"/>
      <c r="AK17" s="13"/>
      <c r="AL17" s="13"/>
      <c r="AM17" s="46">
        <f t="shared" si="7"/>
        <v>0</v>
      </c>
      <c r="AN17" s="41"/>
      <c r="AO17" s="41"/>
      <c r="AP17" s="41"/>
      <c r="AQ17" s="41"/>
      <c r="AR17" s="41"/>
      <c r="AS17" s="52"/>
      <c r="AT17" s="13"/>
      <c r="AU17" s="13"/>
      <c r="AV17" s="13"/>
      <c r="AW17" s="13"/>
      <c r="AX17" s="13"/>
      <c r="AY17" s="46">
        <f t="shared" si="2"/>
        <v>0</v>
      </c>
      <c r="AZ17" s="13"/>
      <c r="BA17" s="13"/>
      <c r="BB17" s="46">
        <f t="shared" si="8"/>
        <v>0</v>
      </c>
      <c r="BC17" s="13"/>
      <c r="BD17" s="13"/>
      <c r="BE17" s="13"/>
      <c r="BF17" s="13"/>
      <c r="BG17" s="13"/>
      <c r="BH17" s="13"/>
      <c r="BI17" s="13"/>
      <c r="BJ17" s="46">
        <f t="shared" si="9"/>
        <v>0</v>
      </c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46">
        <f t="shared" si="12"/>
        <v>0</v>
      </c>
      <c r="CA17" s="105"/>
      <c r="CB17" s="56"/>
      <c r="CC17" s="13"/>
      <c r="CD17" s="105"/>
      <c r="CE17" s="105"/>
      <c r="CF17" s="105"/>
      <c r="CG17" s="105"/>
      <c r="CH17" s="105"/>
      <c r="CI17" s="105"/>
      <c r="CJ17" s="105"/>
      <c r="CK17" s="105"/>
      <c r="CL17" s="56">
        <f t="shared" si="10"/>
        <v>0</v>
      </c>
      <c r="CM17" s="40">
        <f t="shared" si="3"/>
        <v>6069</v>
      </c>
      <c r="CN17" s="9" t="s">
        <v>21</v>
      </c>
      <c r="CO17" s="9">
        <v>742.94</v>
      </c>
      <c r="CP17" s="117">
        <f t="shared" si="4"/>
        <v>0</v>
      </c>
      <c r="CQ17" s="40">
        <f t="shared" si="5"/>
        <v>6069</v>
      </c>
    </row>
    <row r="18" spans="1:95" ht="21" customHeight="1">
      <c r="A18" s="26">
        <v>14</v>
      </c>
      <c r="B18" s="9" t="s">
        <v>22</v>
      </c>
      <c r="C18" s="11">
        <v>731.9</v>
      </c>
      <c r="D18" s="11">
        <v>2811</v>
      </c>
      <c r="E18" s="11"/>
      <c r="F18" s="11"/>
      <c r="G18" s="11"/>
      <c r="H18" s="11"/>
      <c r="I18" s="11"/>
      <c r="J18" s="14"/>
      <c r="K18" s="46">
        <f t="shared" si="0"/>
        <v>2811</v>
      </c>
      <c r="L18" s="13"/>
      <c r="M18" s="13"/>
      <c r="N18" s="13"/>
      <c r="O18" s="46">
        <f t="shared" si="6"/>
        <v>0</v>
      </c>
      <c r="P18" s="13"/>
      <c r="Q18" s="13"/>
      <c r="R18" s="13"/>
      <c r="S18" s="13"/>
      <c r="T18" s="13"/>
      <c r="U18" s="13"/>
      <c r="V18" s="13"/>
      <c r="W18" s="13"/>
      <c r="X18" s="46">
        <f t="shared" si="11"/>
        <v>0</v>
      </c>
      <c r="Y18" s="13"/>
      <c r="Z18" s="13"/>
      <c r="AA18" s="13"/>
      <c r="AB18" s="13"/>
      <c r="AC18" s="13"/>
      <c r="AD18" s="13"/>
      <c r="AE18" s="13"/>
      <c r="AF18" s="13"/>
      <c r="AG18" s="13"/>
      <c r="AH18" s="46">
        <f t="shared" si="1"/>
        <v>0</v>
      </c>
      <c r="AI18" s="13"/>
      <c r="AJ18" s="13"/>
      <c r="AK18" s="13"/>
      <c r="AL18" s="13"/>
      <c r="AM18" s="46">
        <f t="shared" si="7"/>
        <v>0</v>
      </c>
      <c r="AN18" s="41"/>
      <c r="AO18" s="41"/>
      <c r="AP18" s="41"/>
      <c r="AQ18" s="41"/>
      <c r="AR18" s="41"/>
      <c r="AS18" s="53">
        <f>SUM(AN18:AR18)</f>
        <v>0</v>
      </c>
      <c r="AT18" s="13"/>
      <c r="AU18" s="13"/>
      <c r="AV18" s="13"/>
      <c r="AW18" s="13"/>
      <c r="AX18" s="13"/>
      <c r="AY18" s="46">
        <f t="shared" si="2"/>
        <v>0</v>
      </c>
      <c r="AZ18" s="13"/>
      <c r="BA18" s="13"/>
      <c r="BB18" s="46">
        <f t="shared" si="8"/>
        <v>0</v>
      </c>
      <c r="BC18" s="13"/>
      <c r="BD18" s="13"/>
      <c r="BE18" s="13"/>
      <c r="BF18" s="13"/>
      <c r="BG18" s="13"/>
      <c r="BH18" s="13"/>
      <c r="BI18" s="13"/>
      <c r="BJ18" s="46">
        <f t="shared" si="9"/>
        <v>0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46">
        <f t="shared" si="12"/>
        <v>0</v>
      </c>
      <c r="CA18" s="105"/>
      <c r="CB18" s="56"/>
      <c r="CC18" s="13"/>
      <c r="CD18" s="105"/>
      <c r="CE18" s="105">
        <v>2643.2</v>
      </c>
      <c r="CF18" s="105">
        <v>42026</v>
      </c>
      <c r="CG18" s="105"/>
      <c r="CH18" s="105"/>
      <c r="CI18" s="105"/>
      <c r="CJ18" s="105"/>
      <c r="CK18" s="105"/>
      <c r="CL18" s="56">
        <f t="shared" si="10"/>
        <v>44669.2</v>
      </c>
      <c r="CM18" s="40">
        <f t="shared" si="3"/>
        <v>47480.2</v>
      </c>
      <c r="CN18" s="9" t="s">
        <v>22</v>
      </c>
      <c r="CO18" s="9">
        <v>731.9</v>
      </c>
      <c r="CP18" s="117">
        <f t="shared" si="4"/>
        <v>44669.2</v>
      </c>
      <c r="CQ18" s="40">
        <f t="shared" si="5"/>
        <v>2811</v>
      </c>
    </row>
    <row r="19" spans="1:95" ht="21" customHeight="1">
      <c r="A19" s="26">
        <v>15</v>
      </c>
      <c r="B19" s="9" t="s">
        <v>23</v>
      </c>
      <c r="C19" s="11">
        <v>715.4</v>
      </c>
      <c r="D19" s="11">
        <v>2101</v>
      </c>
      <c r="E19" s="11"/>
      <c r="F19" s="11"/>
      <c r="G19" s="11"/>
      <c r="H19" s="11"/>
      <c r="I19" s="11"/>
      <c r="J19" s="14"/>
      <c r="K19" s="46">
        <f t="shared" si="0"/>
        <v>2101</v>
      </c>
      <c r="L19" s="13"/>
      <c r="M19" s="13">
        <v>27759</v>
      </c>
      <c r="N19" s="13"/>
      <c r="O19" s="46">
        <f t="shared" si="6"/>
        <v>27759</v>
      </c>
      <c r="P19" s="13"/>
      <c r="Q19" s="13"/>
      <c r="R19" s="13"/>
      <c r="S19" s="13"/>
      <c r="T19" s="13"/>
      <c r="U19" s="13"/>
      <c r="V19" s="13"/>
      <c r="W19" s="13"/>
      <c r="X19" s="46">
        <f t="shared" si="11"/>
        <v>0</v>
      </c>
      <c r="Y19" s="13"/>
      <c r="Z19" s="13"/>
      <c r="AA19" s="13"/>
      <c r="AB19" s="13"/>
      <c r="AC19" s="13">
        <v>35120</v>
      </c>
      <c r="AD19" s="13"/>
      <c r="AE19" s="13"/>
      <c r="AF19" s="13"/>
      <c r="AG19" s="13"/>
      <c r="AH19" s="46">
        <f t="shared" si="1"/>
        <v>35120</v>
      </c>
      <c r="AI19" s="13"/>
      <c r="AJ19" s="13"/>
      <c r="AK19" s="13"/>
      <c r="AL19" s="13">
        <v>42980</v>
      </c>
      <c r="AM19" s="46">
        <f t="shared" si="7"/>
        <v>42980</v>
      </c>
      <c r="AN19" s="41"/>
      <c r="AO19" s="41"/>
      <c r="AP19" s="41">
        <v>101598</v>
      </c>
      <c r="AQ19" s="41"/>
      <c r="AR19" s="41"/>
      <c r="AS19" s="53">
        <f>SUM(AN19:AR19)</f>
        <v>101598</v>
      </c>
      <c r="AT19" s="13"/>
      <c r="AU19" s="13"/>
      <c r="AV19" s="13"/>
      <c r="AW19" s="13"/>
      <c r="AX19" s="13"/>
      <c r="AY19" s="46">
        <f t="shared" si="2"/>
        <v>0</v>
      </c>
      <c r="AZ19" s="13">
        <v>20688.7</v>
      </c>
      <c r="BA19" s="13"/>
      <c r="BB19" s="46">
        <f t="shared" si="8"/>
        <v>20688.7</v>
      </c>
      <c r="BC19" s="13"/>
      <c r="BD19" s="13"/>
      <c r="BE19" s="13"/>
      <c r="BF19" s="13"/>
      <c r="BG19" s="13"/>
      <c r="BH19" s="13"/>
      <c r="BI19" s="13"/>
      <c r="BJ19" s="46">
        <f t="shared" si="9"/>
        <v>0</v>
      </c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46">
        <f t="shared" si="12"/>
        <v>0</v>
      </c>
      <c r="CA19" s="105"/>
      <c r="CB19" s="56"/>
      <c r="CC19" s="13"/>
      <c r="CD19" s="105"/>
      <c r="CE19" s="105"/>
      <c r="CF19" s="105"/>
      <c r="CG19" s="105"/>
      <c r="CH19" s="105"/>
      <c r="CI19" s="105"/>
      <c r="CJ19" s="105"/>
      <c r="CK19" s="105"/>
      <c r="CL19" s="56">
        <f t="shared" si="10"/>
        <v>0</v>
      </c>
      <c r="CM19" s="40">
        <f t="shared" si="3"/>
        <v>230246.7</v>
      </c>
      <c r="CN19" s="9" t="s">
        <v>23</v>
      </c>
      <c r="CO19" s="9">
        <v>715.4</v>
      </c>
      <c r="CP19" s="117">
        <f t="shared" si="4"/>
        <v>20688.7</v>
      </c>
      <c r="CQ19" s="40">
        <f t="shared" si="5"/>
        <v>209558</v>
      </c>
    </row>
    <row r="20" spans="1:95" ht="21" customHeight="1">
      <c r="A20" s="26">
        <v>16</v>
      </c>
      <c r="B20" s="9" t="s">
        <v>24</v>
      </c>
      <c r="C20" s="11">
        <v>775.02</v>
      </c>
      <c r="D20" s="11"/>
      <c r="E20" s="11"/>
      <c r="F20" s="11"/>
      <c r="G20" s="11"/>
      <c r="H20" s="11"/>
      <c r="I20" s="11"/>
      <c r="J20" s="14"/>
      <c r="K20" s="46">
        <f t="shared" si="0"/>
        <v>0</v>
      </c>
      <c r="L20" s="13"/>
      <c r="M20" s="13"/>
      <c r="N20" s="13"/>
      <c r="O20" s="46">
        <f t="shared" si="6"/>
        <v>0</v>
      </c>
      <c r="P20" s="13"/>
      <c r="Q20" s="13"/>
      <c r="R20" s="13"/>
      <c r="S20" s="13"/>
      <c r="T20" s="13"/>
      <c r="U20" s="13"/>
      <c r="V20" s="13"/>
      <c r="W20" s="13"/>
      <c r="X20" s="46">
        <f t="shared" si="11"/>
        <v>0</v>
      </c>
      <c r="Y20" s="13"/>
      <c r="Z20" s="13"/>
      <c r="AA20" s="13"/>
      <c r="AB20" s="13"/>
      <c r="AC20" s="13"/>
      <c r="AD20" s="13">
        <v>14360</v>
      </c>
      <c r="AE20" s="13">
        <v>38873</v>
      </c>
      <c r="AF20" s="13"/>
      <c r="AG20" s="13"/>
      <c r="AH20" s="46">
        <f t="shared" si="1"/>
        <v>53233</v>
      </c>
      <c r="AI20" s="13"/>
      <c r="AJ20" s="13"/>
      <c r="AK20" s="13"/>
      <c r="AL20" s="13"/>
      <c r="AM20" s="46">
        <f t="shared" si="7"/>
        <v>0</v>
      </c>
      <c r="AN20" s="41"/>
      <c r="AO20" s="41"/>
      <c r="AP20" s="41"/>
      <c r="AQ20" s="41"/>
      <c r="AR20" s="41"/>
      <c r="AS20" s="52"/>
      <c r="AT20" s="13">
        <v>56941</v>
      </c>
      <c r="AU20" s="13"/>
      <c r="AV20" s="13"/>
      <c r="AW20" s="13"/>
      <c r="AX20" s="13"/>
      <c r="AY20" s="46">
        <f t="shared" si="2"/>
        <v>56941</v>
      </c>
      <c r="AZ20" s="13"/>
      <c r="BA20" s="13"/>
      <c r="BB20" s="46">
        <f t="shared" si="8"/>
        <v>0</v>
      </c>
      <c r="BC20" s="13"/>
      <c r="BD20" s="13"/>
      <c r="BE20" s="13"/>
      <c r="BF20" s="13"/>
      <c r="BG20" s="13"/>
      <c r="BH20" s="13"/>
      <c r="BI20" s="13"/>
      <c r="BJ20" s="46">
        <f t="shared" si="9"/>
        <v>0</v>
      </c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>
        <v>33389</v>
      </c>
      <c r="BZ20" s="46">
        <f t="shared" si="12"/>
        <v>33389</v>
      </c>
      <c r="CA20" s="105"/>
      <c r="CB20" s="56"/>
      <c r="CC20" s="13"/>
      <c r="CD20" s="105"/>
      <c r="CE20" s="105"/>
      <c r="CF20" s="105"/>
      <c r="CG20" s="105"/>
      <c r="CH20" s="105"/>
      <c r="CI20" s="105"/>
      <c r="CJ20" s="105"/>
      <c r="CK20" s="105"/>
      <c r="CL20" s="56">
        <f t="shared" si="10"/>
        <v>0</v>
      </c>
      <c r="CM20" s="40">
        <f t="shared" si="3"/>
        <v>143563</v>
      </c>
      <c r="CN20" s="9" t="s">
        <v>24</v>
      </c>
      <c r="CO20" s="9">
        <v>775.02</v>
      </c>
      <c r="CP20" s="117">
        <f t="shared" si="4"/>
        <v>90330</v>
      </c>
      <c r="CQ20" s="40">
        <f t="shared" si="5"/>
        <v>53233</v>
      </c>
    </row>
    <row r="21" spans="1:95" ht="21" customHeight="1">
      <c r="A21" s="26">
        <v>17</v>
      </c>
      <c r="B21" s="9" t="s">
        <v>25</v>
      </c>
      <c r="C21" s="11">
        <v>717.09</v>
      </c>
      <c r="D21" s="11">
        <v>2102</v>
      </c>
      <c r="E21" s="11"/>
      <c r="F21" s="11"/>
      <c r="G21" s="11"/>
      <c r="H21" s="11"/>
      <c r="I21" s="11"/>
      <c r="J21" s="14"/>
      <c r="K21" s="46">
        <f t="shared" si="0"/>
        <v>2102</v>
      </c>
      <c r="L21" s="13"/>
      <c r="M21" s="13"/>
      <c r="N21" s="13">
        <v>2473</v>
      </c>
      <c r="O21" s="46">
        <f t="shared" si="6"/>
        <v>2473</v>
      </c>
      <c r="P21" s="13"/>
      <c r="Q21" s="13"/>
      <c r="R21" s="13"/>
      <c r="S21" s="13"/>
      <c r="T21" s="13"/>
      <c r="U21" s="13"/>
      <c r="V21" s="13"/>
      <c r="W21" s="13"/>
      <c r="X21" s="46">
        <f t="shared" si="11"/>
        <v>0</v>
      </c>
      <c r="Y21" s="13"/>
      <c r="Z21" s="13"/>
      <c r="AA21" s="13"/>
      <c r="AB21" s="13">
        <v>1749.7</v>
      </c>
      <c r="AC21" s="13"/>
      <c r="AD21" s="13"/>
      <c r="AE21" s="13"/>
      <c r="AF21" s="13"/>
      <c r="AG21" s="13"/>
      <c r="AH21" s="46">
        <f t="shared" si="1"/>
        <v>1749.7</v>
      </c>
      <c r="AI21" s="13"/>
      <c r="AJ21" s="13"/>
      <c r="AK21" s="13"/>
      <c r="AL21" s="13"/>
      <c r="AM21" s="46">
        <f t="shared" si="7"/>
        <v>0</v>
      </c>
      <c r="AN21" s="41"/>
      <c r="AO21" s="41"/>
      <c r="AP21" s="41"/>
      <c r="AQ21" s="41"/>
      <c r="AR21" s="41"/>
      <c r="AS21" s="53">
        <f>SUM(AN21:AR21)</f>
        <v>0</v>
      </c>
      <c r="AT21" s="13"/>
      <c r="AU21" s="13"/>
      <c r="AV21" s="13"/>
      <c r="AW21" s="13"/>
      <c r="AX21" s="13"/>
      <c r="AY21" s="46">
        <f t="shared" si="2"/>
        <v>0</v>
      </c>
      <c r="AZ21" s="13"/>
      <c r="BA21" s="13"/>
      <c r="BB21" s="46">
        <f t="shared" si="8"/>
        <v>0</v>
      </c>
      <c r="BC21" s="13"/>
      <c r="BD21" s="13"/>
      <c r="BE21" s="13"/>
      <c r="BF21" s="13"/>
      <c r="BG21" s="13"/>
      <c r="BH21" s="13"/>
      <c r="BI21" s="13"/>
      <c r="BJ21" s="46">
        <f t="shared" si="9"/>
        <v>0</v>
      </c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46">
        <f t="shared" si="12"/>
        <v>0</v>
      </c>
      <c r="CA21" s="105"/>
      <c r="CB21" s="56"/>
      <c r="CC21" s="13">
        <v>45349</v>
      </c>
      <c r="CD21" s="105"/>
      <c r="CE21" s="105"/>
      <c r="CF21" s="105"/>
      <c r="CG21" s="105"/>
      <c r="CH21" s="105"/>
      <c r="CI21" s="105"/>
      <c r="CJ21" s="105"/>
      <c r="CK21" s="105"/>
      <c r="CL21" s="56">
        <f t="shared" si="10"/>
        <v>45349</v>
      </c>
      <c r="CM21" s="40">
        <f t="shared" si="3"/>
        <v>51673.7</v>
      </c>
      <c r="CN21" s="9" t="s">
        <v>25</v>
      </c>
      <c r="CO21" s="9">
        <v>717.09</v>
      </c>
      <c r="CP21" s="117">
        <f t="shared" si="4"/>
        <v>45349</v>
      </c>
      <c r="CQ21" s="40">
        <f t="shared" si="5"/>
        <v>6324.7</v>
      </c>
    </row>
    <row r="22" spans="1:95" ht="21" customHeight="1">
      <c r="A22" s="26">
        <v>18</v>
      </c>
      <c r="B22" s="9" t="s">
        <v>26</v>
      </c>
      <c r="C22" s="11">
        <v>720.18</v>
      </c>
      <c r="D22" s="11">
        <v>2104</v>
      </c>
      <c r="E22" s="11"/>
      <c r="F22" s="11"/>
      <c r="G22" s="11"/>
      <c r="H22" s="11"/>
      <c r="I22" s="11"/>
      <c r="J22" s="14"/>
      <c r="K22" s="46">
        <f t="shared" si="0"/>
        <v>2104</v>
      </c>
      <c r="L22" s="13"/>
      <c r="M22" s="13"/>
      <c r="N22" s="13"/>
      <c r="O22" s="46">
        <f t="shared" si="6"/>
        <v>0</v>
      </c>
      <c r="P22" s="13"/>
      <c r="Q22" s="13"/>
      <c r="R22" s="13"/>
      <c r="S22" s="13"/>
      <c r="T22" s="13"/>
      <c r="U22" s="13"/>
      <c r="V22" s="13"/>
      <c r="W22" s="13"/>
      <c r="X22" s="46">
        <f t="shared" si="11"/>
        <v>0</v>
      </c>
      <c r="Y22" s="13"/>
      <c r="Z22" s="13">
        <v>2357.5</v>
      </c>
      <c r="AA22" s="13"/>
      <c r="AB22" s="13"/>
      <c r="AC22" s="13"/>
      <c r="AD22" s="13"/>
      <c r="AE22" s="13"/>
      <c r="AF22" s="13"/>
      <c r="AG22" s="13"/>
      <c r="AH22" s="46">
        <f t="shared" si="1"/>
        <v>2357.5</v>
      </c>
      <c r="AI22" s="13"/>
      <c r="AJ22" s="13"/>
      <c r="AK22" s="13"/>
      <c r="AL22" s="13"/>
      <c r="AM22" s="46">
        <f t="shared" si="7"/>
        <v>0</v>
      </c>
      <c r="AN22" s="41"/>
      <c r="AO22" s="41"/>
      <c r="AP22" s="41"/>
      <c r="AQ22" s="41"/>
      <c r="AR22" s="41"/>
      <c r="AS22" s="53">
        <f>SUM(AN22:AR22)</f>
        <v>0</v>
      </c>
      <c r="AT22" s="13"/>
      <c r="AU22" s="13"/>
      <c r="AV22" s="13"/>
      <c r="AW22" s="13"/>
      <c r="AX22" s="13"/>
      <c r="AY22" s="46">
        <f t="shared" si="2"/>
        <v>0</v>
      </c>
      <c r="AZ22" s="13"/>
      <c r="BA22" s="13"/>
      <c r="BB22" s="46">
        <f t="shared" si="8"/>
        <v>0</v>
      </c>
      <c r="BC22" s="13"/>
      <c r="BD22" s="13"/>
      <c r="BE22" s="13"/>
      <c r="BF22" s="13"/>
      <c r="BG22" s="13"/>
      <c r="BH22" s="13"/>
      <c r="BI22" s="13"/>
      <c r="BJ22" s="46">
        <f t="shared" si="9"/>
        <v>0</v>
      </c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46">
        <f t="shared" si="12"/>
        <v>0</v>
      </c>
      <c r="CA22" s="105"/>
      <c r="CB22" s="56"/>
      <c r="CC22" s="13"/>
      <c r="CD22" s="105"/>
      <c r="CE22" s="105"/>
      <c r="CF22" s="105"/>
      <c r="CG22" s="105"/>
      <c r="CH22" s="105"/>
      <c r="CI22" s="105"/>
      <c r="CJ22" s="105"/>
      <c r="CK22" s="105"/>
      <c r="CL22" s="56">
        <f t="shared" si="10"/>
        <v>0</v>
      </c>
      <c r="CM22" s="40">
        <f t="shared" si="3"/>
        <v>4461.5</v>
      </c>
      <c r="CN22" s="9" t="s">
        <v>26</v>
      </c>
      <c r="CO22" s="9">
        <v>720.18</v>
      </c>
      <c r="CP22" s="117">
        <f t="shared" si="4"/>
        <v>0</v>
      </c>
      <c r="CQ22" s="40">
        <f t="shared" si="5"/>
        <v>4461.5</v>
      </c>
    </row>
    <row r="23" spans="1:95" ht="21" customHeight="1">
      <c r="A23" s="26">
        <v>19</v>
      </c>
      <c r="B23" s="9" t="s">
        <v>27</v>
      </c>
      <c r="C23" s="11">
        <v>375.4</v>
      </c>
      <c r="D23" s="11">
        <v>1885</v>
      </c>
      <c r="E23" s="11"/>
      <c r="F23" s="11"/>
      <c r="G23" s="11"/>
      <c r="H23" s="11"/>
      <c r="I23" s="11"/>
      <c r="J23" s="14"/>
      <c r="K23" s="46">
        <f t="shared" si="0"/>
        <v>1885</v>
      </c>
      <c r="L23" s="13"/>
      <c r="M23" s="13"/>
      <c r="N23" s="13"/>
      <c r="O23" s="46">
        <f t="shared" si="6"/>
        <v>0</v>
      </c>
      <c r="P23" s="13"/>
      <c r="Q23" s="13"/>
      <c r="R23" s="13"/>
      <c r="S23" s="13"/>
      <c r="T23" s="13"/>
      <c r="U23" s="13"/>
      <c r="V23" s="13"/>
      <c r="W23" s="13"/>
      <c r="X23" s="46">
        <f t="shared" si="11"/>
        <v>0</v>
      </c>
      <c r="Y23" s="13"/>
      <c r="Z23" s="13"/>
      <c r="AA23" s="13"/>
      <c r="AB23" s="13"/>
      <c r="AC23" s="13"/>
      <c r="AD23" s="13"/>
      <c r="AE23" s="13"/>
      <c r="AF23" s="13"/>
      <c r="AG23" s="13"/>
      <c r="AH23" s="46">
        <f t="shared" si="1"/>
        <v>0</v>
      </c>
      <c r="AI23" s="13"/>
      <c r="AJ23" s="13"/>
      <c r="AK23" s="13"/>
      <c r="AL23" s="13"/>
      <c r="AM23" s="46">
        <f t="shared" si="7"/>
        <v>0</v>
      </c>
      <c r="AN23" s="41"/>
      <c r="AO23" s="41"/>
      <c r="AP23" s="41"/>
      <c r="AQ23" s="41"/>
      <c r="AR23" s="41"/>
      <c r="AS23" s="53">
        <f>SUM(AN23:AR23)</f>
        <v>0</v>
      </c>
      <c r="AT23" s="13"/>
      <c r="AU23" s="13"/>
      <c r="AV23" s="13"/>
      <c r="AW23" s="13"/>
      <c r="AX23" s="13"/>
      <c r="AY23" s="46">
        <f t="shared" si="2"/>
        <v>0</v>
      </c>
      <c r="AZ23" s="13"/>
      <c r="BA23" s="13"/>
      <c r="BB23" s="46">
        <f t="shared" si="8"/>
        <v>0</v>
      </c>
      <c r="BC23" s="13"/>
      <c r="BD23" s="13"/>
      <c r="BE23" s="13"/>
      <c r="BF23" s="13"/>
      <c r="BG23" s="13"/>
      <c r="BH23" s="13"/>
      <c r="BI23" s="13"/>
      <c r="BJ23" s="46">
        <f t="shared" si="9"/>
        <v>0</v>
      </c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46">
        <f t="shared" si="12"/>
        <v>0</v>
      </c>
      <c r="CA23" s="105"/>
      <c r="CB23" s="56"/>
      <c r="CC23" s="13"/>
      <c r="CD23" s="105"/>
      <c r="CE23" s="105"/>
      <c r="CF23" s="105">
        <v>11932</v>
      </c>
      <c r="CG23" s="105"/>
      <c r="CH23" s="105"/>
      <c r="CI23" s="105"/>
      <c r="CJ23" s="105"/>
      <c r="CK23" s="105">
        <v>1695.4</v>
      </c>
      <c r="CL23" s="56">
        <f t="shared" si="10"/>
        <v>13627.4</v>
      </c>
      <c r="CM23" s="40">
        <f t="shared" si="3"/>
        <v>15512.4</v>
      </c>
      <c r="CN23" s="9" t="s">
        <v>27</v>
      </c>
      <c r="CO23" s="9">
        <v>375.4</v>
      </c>
      <c r="CP23" s="117">
        <f t="shared" si="4"/>
        <v>13627.4</v>
      </c>
      <c r="CQ23" s="40">
        <f t="shared" si="5"/>
        <v>1885</v>
      </c>
    </row>
    <row r="24" spans="1:95" ht="21" customHeight="1">
      <c r="A24" s="26">
        <v>20</v>
      </c>
      <c r="B24" s="9" t="s">
        <v>28</v>
      </c>
      <c r="C24" s="11">
        <v>366.6</v>
      </c>
      <c r="D24" s="11">
        <v>1880</v>
      </c>
      <c r="E24" s="11"/>
      <c r="F24" s="11"/>
      <c r="G24" s="11"/>
      <c r="H24" s="11"/>
      <c r="I24" s="11"/>
      <c r="J24" s="14"/>
      <c r="K24" s="46">
        <f t="shared" si="0"/>
        <v>1880</v>
      </c>
      <c r="L24" s="13"/>
      <c r="M24" s="13"/>
      <c r="N24" s="13"/>
      <c r="O24" s="46">
        <f t="shared" si="6"/>
        <v>0</v>
      </c>
      <c r="P24" s="13"/>
      <c r="Q24" s="13"/>
      <c r="R24" s="13"/>
      <c r="S24" s="13"/>
      <c r="T24" s="13"/>
      <c r="U24" s="13"/>
      <c r="V24" s="13"/>
      <c r="W24" s="13"/>
      <c r="X24" s="46">
        <f t="shared" si="11"/>
        <v>0</v>
      </c>
      <c r="Y24" s="13"/>
      <c r="Z24" s="13"/>
      <c r="AA24" s="13"/>
      <c r="AB24" s="13"/>
      <c r="AC24" s="13"/>
      <c r="AD24" s="13"/>
      <c r="AE24" s="13"/>
      <c r="AF24" s="13"/>
      <c r="AG24" s="13"/>
      <c r="AH24" s="46">
        <f t="shared" si="1"/>
        <v>0</v>
      </c>
      <c r="AI24" s="13"/>
      <c r="AJ24" s="13"/>
      <c r="AK24" s="13"/>
      <c r="AL24" s="13"/>
      <c r="AM24" s="46">
        <f t="shared" si="7"/>
        <v>0</v>
      </c>
      <c r="AN24" s="41"/>
      <c r="AO24" s="41"/>
      <c r="AP24" s="41"/>
      <c r="AQ24" s="41"/>
      <c r="AR24" s="41"/>
      <c r="AS24" s="52"/>
      <c r="AT24" s="13"/>
      <c r="AU24" s="13"/>
      <c r="AV24" s="13"/>
      <c r="AW24" s="13"/>
      <c r="AX24" s="13"/>
      <c r="AY24" s="46">
        <f t="shared" si="2"/>
        <v>0</v>
      </c>
      <c r="AZ24" s="13"/>
      <c r="BA24" s="13"/>
      <c r="BB24" s="46">
        <f t="shared" si="8"/>
        <v>0</v>
      </c>
      <c r="BC24" s="13"/>
      <c r="BD24" s="13"/>
      <c r="BE24" s="13"/>
      <c r="BF24" s="13"/>
      <c r="BG24" s="13"/>
      <c r="BH24" s="13"/>
      <c r="BI24" s="13"/>
      <c r="BJ24" s="46">
        <f t="shared" si="9"/>
        <v>0</v>
      </c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46">
        <f t="shared" si="12"/>
        <v>0</v>
      </c>
      <c r="CA24" s="105"/>
      <c r="CB24" s="56"/>
      <c r="CC24" s="13"/>
      <c r="CD24" s="105"/>
      <c r="CE24" s="105"/>
      <c r="CF24" s="105"/>
      <c r="CG24" s="105"/>
      <c r="CH24" s="105"/>
      <c r="CI24" s="105"/>
      <c r="CJ24" s="105"/>
      <c r="CK24" s="105"/>
      <c r="CL24" s="56">
        <f t="shared" si="10"/>
        <v>0</v>
      </c>
      <c r="CM24" s="40">
        <f t="shared" si="3"/>
        <v>1880</v>
      </c>
      <c r="CN24" s="9" t="s">
        <v>28</v>
      </c>
      <c r="CO24" s="9">
        <v>366.6</v>
      </c>
      <c r="CP24" s="117">
        <f t="shared" si="4"/>
        <v>0</v>
      </c>
      <c r="CQ24" s="40">
        <f t="shared" si="5"/>
        <v>1880</v>
      </c>
    </row>
    <row r="25" spans="1:95" ht="21" customHeight="1">
      <c r="A25" s="26">
        <v>21</v>
      </c>
      <c r="B25" s="9" t="s">
        <v>29</v>
      </c>
      <c r="C25" s="11">
        <v>724.34</v>
      </c>
      <c r="D25" s="11">
        <v>2107</v>
      </c>
      <c r="E25" s="11"/>
      <c r="F25" s="11"/>
      <c r="G25" s="11"/>
      <c r="H25" s="11"/>
      <c r="I25" s="11"/>
      <c r="J25" s="14"/>
      <c r="K25" s="46">
        <f t="shared" si="0"/>
        <v>2107</v>
      </c>
      <c r="L25" s="13"/>
      <c r="M25" s="13"/>
      <c r="N25" s="13"/>
      <c r="O25" s="46">
        <f t="shared" si="6"/>
        <v>0</v>
      </c>
      <c r="P25" s="13"/>
      <c r="Q25" s="13"/>
      <c r="R25" s="13"/>
      <c r="S25" s="13"/>
      <c r="T25" s="13"/>
      <c r="U25" s="13"/>
      <c r="V25" s="13"/>
      <c r="W25" s="13"/>
      <c r="X25" s="46">
        <f t="shared" si="11"/>
        <v>0</v>
      </c>
      <c r="Y25" s="13"/>
      <c r="Z25" s="13"/>
      <c r="AA25" s="13"/>
      <c r="AB25" s="13"/>
      <c r="AC25" s="13"/>
      <c r="AD25" s="13"/>
      <c r="AE25" s="13"/>
      <c r="AF25" s="13"/>
      <c r="AG25" s="13"/>
      <c r="AH25" s="46">
        <f t="shared" si="1"/>
        <v>0</v>
      </c>
      <c r="AI25" s="13"/>
      <c r="AJ25" s="13"/>
      <c r="AK25" s="13"/>
      <c r="AL25" s="13"/>
      <c r="AM25" s="46">
        <f t="shared" si="7"/>
        <v>0</v>
      </c>
      <c r="AN25" s="41"/>
      <c r="AO25" s="41"/>
      <c r="AP25" s="41"/>
      <c r="AQ25" s="41"/>
      <c r="AR25" s="41"/>
      <c r="AS25" s="52"/>
      <c r="AT25" s="13"/>
      <c r="AU25" s="13"/>
      <c r="AV25" s="13"/>
      <c r="AW25" s="13"/>
      <c r="AX25" s="13"/>
      <c r="AY25" s="46">
        <f t="shared" si="2"/>
        <v>0</v>
      </c>
      <c r="AZ25" s="13"/>
      <c r="BA25" s="13"/>
      <c r="BB25" s="46">
        <f t="shared" si="8"/>
        <v>0</v>
      </c>
      <c r="BC25" s="13"/>
      <c r="BD25" s="13"/>
      <c r="BE25" s="13"/>
      <c r="BF25" s="13"/>
      <c r="BG25" s="13"/>
      <c r="BH25" s="13"/>
      <c r="BI25" s="13"/>
      <c r="BJ25" s="46">
        <f t="shared" si="9"/>
        <v>0</v>
      </c>
      <c r="BK25" s="13"/>
      <c r="BL25" s="13"/>
      <c r="BM25" s="13"/>
      <c r="BN25" s="13"/>
      <c r="BO25" s="13"/>
      <c r="BP25" s="13"/>
      <c r="BQ25" s="13">
        <v>1222.7</v>
      </c>
      <c r="BR25" s="13"/>
      <c r="BS25" s="13"/>
      <c r="BT25" s="13"/>
      <c r="BU25" s="13"/>
      <c r="BV25" s="13"/>
      <c r="BW25" s="13"/>
      <c r="BX25" s="13"/>
      <c r="BY25" s="13"/>
      <c r="BZ25" s="46">
        <f t="shared" si="12"/>
        <v>1222.7</v>
      </c>
      <c r="CA25" s="105"/>
      <c r="CB25" s="56"/>
      <c r="CC25" s="13"/>
      <c r="CD25" s="105"/>
      <c r="CE25" s="105"/>
      <c r="CF25" s="105"/>
      <c r="CG25" s="105"/>
      <c r="CH25" s="105"/>
      <c r="CI25" s="105"/>
      <c r="CJ25" s="105"/>
      <c r="CK25" s="105"/>
      <c r="CL25" s="56">
        <f t="shared" si="10"/>
        <v>0</v>
      </c>
      <c r="CM25" s="40">
        <f t="shared" si="3"/>
        <v>3329.7</v>
      </c>
      <c r="CN25" s="9" t="s">
        <v>29</v>
      </c>
      <c r="CO25" s="9">
        <v>724.34</v>
      </c>
      <c r="CP25" s="117">
        <f t="shared" si="4"/>
        <v>1222.7</v>
      </c>
      <c r="CQ25" s="40">
        <f t="shared" si="5"/>
        <v>2107</v>
      </c>
    </row>
    <row r="26" spans="1:95" ht="21" customHeight="1">
      <c r="A26" s="26">
        <v>22</v>
      </c>
      <c r="B26" s="9" t="s">
        <v>59</v>
      </c>
      <c r="C26" s="11">
        <v>736.1</v>
      </c>
      <c r="D26" s="11"/>
      <c r="E26" s="11"/>
      <c r="F26" s="11"/>
      <c r="G26" s="11"/>
      <c r="H26" s="11"/>
      <c r="I26" s="11"/>
      <c r="J26" s="14"/>
      <c r="K26" s="46">
        <f t="shared" si="0"/>
        <v>0</v>
      </c>
      <c r="L26" s="13"/>
      <c r="M26" s="13"/>
      <c r="N26" s="13"/>
      <c r="O26" s="46">
        <f t="shared" si="6"/>
        <v>0</v>
      </c>
      <c r="P26" s="13"/>
      <c r="Q26" s="13"/>
      <c r="R26" s="13"/>
      <c r="S26" s="13"/>
      <c r="T26" s="13"/>
      <c r="U26" s="13"/>
      <c r="V26" s="13"/>
      <c r="W26" s="13"/>
      <c r="X26" s="46">
        <f t="shared" si="11"/>
        <v>0</v>
      </c>
      <c r="Y26" s="13"/>
      <c r="Z26" s="13"/>
      <c r="AA26" s="13"/>
      <c r="AB26" s="13"/>
      <c r="AC26" s="13"/>
      <c r="AD26" s="13"/>
      <c r="AE26" s="13"/>
      <c r="AF26" s="13"/>
      <c r="AG26" s="13"/>
      <c r="AH26" s="46">
        <f t="shared" si="1"/>
        <v>0</v>
      </c>
      <c r="AI26" s="13"/>
      <c r="AJ26" s="13"/>
      <c r="AK26" s="13"/>
      <c r="AL26" s="13"/>
      <c r="AM26" s="46">
        <f t="shared" si="7"/>
        <v>0</v>
      </c>
      <c r="AN26" s="41"/>
      <c r="AO26" s="41">
        <v>9443</v>
      </c>
      <c r="AP26" s="41"/>
      <c r="AQ26" s="41"/>
      <c r="AR26" s="41"/>
      <c r="AS26" s="53">
        <f>SUM(AN26:AR26)</f>
        <v>9443</v>
      </c>
      <c r="AT26" s="13"/>
      <c r="AU26" s="13"/>
      <c r="AV26" s="13"/>
      <c r="AW26" s="13"/>
      <c r="AX26" s="13"/>
      <c r="AY26" s="46">
        <f t="shared" si="2"/>
        <v>0</v>
      </c>
      <c r="AZ26" s="13"/>
      <c r="BA26" s="13"/>
      <c r="BB26" s="46">
        <f t="shared" si="8"/>
        <v>0</v>
      </c>
      <c r="BC26" s="13"/>
      <c r="BD26" s="13"/>
      <c r="BE26" s="13"/>
      <c r="BF26" s="13"/>
      <c r="BG26" s="13"/>
      <c r="BH26" s="13"/>
      <c r="BI26" s="13"/>
      <c r="BJ26" s="46">
        <f t="shared" si="9"/>
        <v>0</v>
      </c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46">
        <f t="shared" si="12"/>
        <v>0</v>
      </c>
      <c r="CA26" s="105"/>
      <c r="CB26" s="56"/>
      <c r="CC26" s="13"/>
      <c r="CD26" s="105"/>
      <c r="CE26" s="105"/>
      <c r="CF26" s="105"/>
      <c r="CG26" s="105"/>
      <c r="CH26" s="105"/>
      <c r="CI26" s="105"/>
      <c r="CJ26" s="105"/>
      <c r="CK26" s="105"/>
      <c r="CL26" s="56">
        <f t="shared" si="10"/>
        <v>0</v>
      </c>
      <c r="CM26" s="40">
        <f t="shared" si="3"/>
        <v>9443</v>
      </c>
      <c r="CN26" s="9" t="s">
        <v>59</v>
      </c>
      <c r="CO26" s="9">
        <v>736.1</v>
      </c>
      <c r="CP26" s="117">
        <f t="shared" si="4"/>
        <v>0</v>
      </c>
      <c r="CQ26" s="40">
        <f t="shared" si="5"/>
        <v>9443</v>
      </c>
    </row>
    <row r="27" spans="1:95" ht="21" customHeight="1">
      <c r="A27" s="26">
        <v>23</v>
      </c>
      <c r="B27" s="9" t="s">
        <v>60</v>
      </c>
      <c r="C27" s="11">
        <v>721.5</v>
      </c>
      <c r="D27" s="11"/>
      <c r="E27" s="11"/>
      <c r="F27" s="11"/>
      <c r="G27" s="11"/>
      <c r="H27" s="11"/>
      <c r="I27" s="11"/>
      <c r="J27" s="14"/>
      <c r="K27" s="46">
        <f t="shared" si="0"/>
        <v>0</v>
      </c>
      <c r="L27" s="13"/>
      <c r="M27" s="13"/>
      <c r="N27" s="13"/>
      <c r="O27" s="46">
        <f t="shared" si="6"/>
        <v>0</v>
      </c>
      <c r="P27" s="13"/>
      <c r="Q27" s="13"/>
      <c r="R27" s="13"/>
      <c r="S27" s="13"/>
      <c r="T27" s="13"/>
      <c r="U27" s="13"/>
      <c r="V27" s="13"/>
      <c r="W27" s="13"/>
      <c r="X27" s="46">
        <f t="shared" si="11"/>
        <v>0</v>
      </c>
      <c r="Y27" s="13"/>
      <c r="Z27" s="13"/>
      <c r="AA27" s="13"/>
      <c r="AB27" s="13"/>
      <c r="AC27" s="13"/>
      <c r="AD27" s="13"/>
      <c r="AE27" s="13"/>
      <c r="AF27" s="13"/>
      <c r="AG27" s="13"/>
      <c r="AH27" s="46">
        <f t="shared" si="1"/>
        <v>0</v>
      </c>
      <c r="AI27" s="13"/>
      <c r="AJ27" s="13"/>
      <c r="AK27" s="13"/>
      <c r="AL27" s="13"/>
      <c r="AM27" s="46">
        <f t="shared" si="7"/>
        <v>0</v>
      </c>
      <c r="AN27" s="41"/>
      <c r="AO27" s="41"/>
      <c r="AP27" s="41"/>
      <c r="AQ27" s="41"/>
      <c r="AR27" s="41"/>
      <c r="AS27" s="53">
        <f>SUM(AO27:AR27)</f>
        <v>0</v>
      </c>
      <c r="AT27" s="13"/>
      <c r="AU27" s="13"/>
      <c r="AV27" s="13"/>
      <c r="AW27" s="13"/>
      <c r="AX27" s="13"/>
      <c r="AY27" s="46">
        <f t="shared" si="2"/>
        <v>0</v>
      </c>
      <c r="AZ27" s="13"/>
      <c r="BA27" s="13"/>
      <c r="BB27" s="46">
        <f t="shared" si="8"/>
        <v>0</v>
      </c>
      <c r="BC27" s="13"/>
      <c r="BD27" s="13"/>
      <c r="BE27" s="13"/>
      <c r="BF27" s="13"/>
      <c r="BG27" s="13"/>
      <c r="BH27" s="13"/>
      <c r="BI27" s="13"/>
      <c r="BJ27" s="46">
        <f t="shared" si="9"/>
        <v>0</v>
      </c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46">
        <f t="shared" si="12"/>
        <v>0</v>
      </c>
      <c r="CA27" s="105"/>
      <c r="CB27" s="56"/>
      <c r="CC27" s="13"/>
      <c r="CD27" s="105"/>
      <c r="CE27" s="105"/>
      <c r="CF27" s="105"/>
      <c r="CG27" s="105"/>
      <c r="CH27" s="105"/>
      <c r="CI27" s="105"/>
      <c r="CJ27" s="105"/>
      <c r="CK27" s="105"/>
      <c r="CL27" s="56">
        <f t="shared" si="10"/>
        <v>0</v>
      </c>
      <c r="CM27" s="40">
        <f t="shared" si="3"/>
        <v>0</v>
      </c>
      <c r="CN27" s="9" t="s">
        <v>60</v>
      </c>
      <c r="CO27" s="9">
        <v>721.5</v>
      </c>
      <c r="CP27" s="117">
        <f t="shared" si="4"/>
        <v>0</v>
      </c>
      <c r="CQ27" s="40">
        <f t="shared" si="5"/>
        <v>0</v>
      </c>
    </row>
    <row r="28" spans="1:95" ht="21" customHeight="1">
      <c r="A28" s="26">
        <v>24</v>
      </c>
      <c r="B28" s="9" t="s">
        <v>30</v>
      </c>
      <c r="C28" s="11">
        <v>742.94</v>
      </c>
      <c r="D28" s="11"/>
      <c r="E28" s="11"/>
      <c r="F28" s="11"/>
      <c r="G28" s="11"/>
      <c r="H28" s="11"/>
      <c r="I28" s="11"/>
      <c r="J28" s="14"/>
      <c r="K28" s="46">
        <f t="shared" si="0"/>
        <v>0</v>
      </c>
      <c r="L28" s="13"/>
      <c r="M28" s="13"/>
      <c r="N28" s="13"/>
      <c r="O28" s="46">
        <f t="shared" si="6"/>
        <v>0</v>
      </c>
      <c r="P28" s="13"/>
      <c r="Q28">
        <v>3674.2</v>
      </c>
      <c r="R28" s="13"/>
      <c r="S28" s="13"/>
      <c r="T28" s="13"/>
      <c r="U28" s="13"/>
      <c r="V28" s="13">
        <v>5834.7</v>
      </c>
      <c r="W28" s="13"/>
      <c r="X28" s="46">
        <f t="shared" si="11"/>
        <v>9508.9</v>
      </c>
      <c r="Y28" s="13"/>
      <c r="Z28" s="58"/>
      <c r="AA28" s="58"/>
      <c r="AB28" s="58"/>
      <c r="AC28" s="58"/>
      <c r="AD28" s="58"/>
      <c r="AE28" s="58"/>
      <c r="AF28" s="58"/>
      <c r="AG28" s="58"/>
      <c r="AH28" s="46">
        <f t="shared" si="1"/>
        <v>0</v>
      </c>
      <c r="AI28" s="13"/>
      <c r="AJ28" s="58"/>
      <c r="AK28" s="58"/>
      <c r="AL28" s="58"/>
      <c r="AM28" s="46">
        <f t="shared" si="7"/>
        <v>0</v>
      </c>
      <c r="AN28" s="41"/>
      <c r="AO28" s="41"/>
      <c r="AP28" s="41"/>
      <c r="AQ28" s="41"/>
      <c r="AR28" s="41"/>
      <c r="AS28" s="53">
        <f>SUM(AN28:AR28)</f>
        <v>0</v>
      </c>
      <c r="AT28" s="13"/>
      <c r="AU28" s="13"/>
      <c r="AV28" s="13"/>
      <c r="AW28" s="13"/>
      <c r="AX28" s="13"/>
      <c r="AY28" s="46">
        <f t="shared" si="2"/>
        <v>0</v>
      </c>
      <c r="AZ28" s="13"/>
      <c r="BA28" s="13"/>
      <c r="BB28" s="46">
        <f t="shared" si="8"/>
        <v>0</v>
      </c>
      <c r="BC28" s="13"/>
      <c r="BD28" s="58"/>
      <c r="BE28" s="58"/>
      <c r="BF28" s="58"/>
      <c r="BG28" s="58"/>
      <c r="BH28" s="58"/>
      <c r="BI28" s="58"/>
      <c r="BJ28" s="46">
        <f t="shared" si="9"/>
        <v>0</v>
      </c>
      <c r="BK28" s="13"/>
      <c r="BZ28" s="46">
        <f t="shared" si="12"/>
        <v>0</v>
      </c>
      <c r="CA28" s="107"/>
      <c r="CB28" s="56"/>
      <c r="CC28" s="8"/>
      <c r="CD28" s="107"/>
      <c r="CE28" s="107"/>
      <c r="CF28" s="107"/>
      <c r="CG28" s="107"/>
      <c r="CH28" s="107"/>
      <c r="CI28" s="107"/>
      <c r="CJ28" s="107"/>
      <c r="CK28" s="107"/>
      <c r="CL28" s="56">
        <f t="shared" si="10"/>
        <v>0</v>
      </c>
      <c r="CM28" s="40">
        <f t="shared" si="3"/>
        <v>9508.9</v>
      </c>
      <c r="CN28" s="9" t="s">
        <v>30</v>
      </c>
      <c r="CO28" s="9">
        <v>742.94</v>
      </c>
      <c r="CP28" s="117">
        <f t="shared" si="4"/>
        <v>0</v>
      </c>
      <c r="CQ28" s="40">
        <f t="shared" si="5"/>
        <v>9508.9</v>
      </c>
    </row>
    <row r="29" spans="1:95" ht="21" customHeight="1">
      <c r="A29" s="26">
        <v>25</v>
      </c>
      <c r="B29" s="9" t="s">
        <v>31</v>
      </c>
      <c r="C29" s="11">
        <v>732.35</v>
      </c>
      <c r="D29" s="11"/>
      <c r="E29" s="11"/>
      <c r="F29" s="11"/>
      <c r="G29" s="11"/>
      <c r="H29" s="11"/>
      <c r="I29" s="11"/>
      <c r="J29" s="14"/>
      <c r="K29" s="46">
        <f t="shared" si="0"/>
        <v>0</v>
      </c>
      <c r="L29" s="13"/>
      <c r="M29" s="13"/>
      <c r="N29" s="13"/>
      <c r="O29" s="46">
        <f t="shared" si="6"/>
        <v>0</v>
      </c>
      <c r="P29" s="13"/>
      <c r="Q29" s="13"/>
      <c r="R29" s="13"/>
      <c r="S29" s="13"/>
      <c r="T29" s="13"/>
      <c r="U29" s="13"/>
      <c r="V29" s="13">
        <v>1853.9</v>
      </c>
      <c r="W29" s="13"/>
      <c r="X29" s="46">
        <f t="shared" si="11"/>
        <v>1853.9</v>
      </c>
      <c r="Y29" s="13"/>
      <c r="Z29" s="13"/>
      <c r="AA29" s="13"/>
      <c r="AB29" s="13"/>
      <c r="AC29" s="13"/>
      <c r="AD29" s="13"/>
      <c r="AE29" s="13"/>
      <c r="AF29" s="13"/>
      <c r="AG29" s="13"/>
      <c r="AH29" s="46">
        <f t="shared" si="1"/>
        <v>0</v>
      </c>
      <c r="AI29" s="13">
        <v>1759.4</v>
      </c>
      <c r="AJ29" s="13"/>
      <c r="AK29" s="13"/>
      <c r="AL29" s="13"/>
      <c r="AM29" s="46">
        <f t="shared" si="7"/>
        <v>1759.4</v>
      </c>
      <c r="AN29" s="41"/>
      <c r="AO29" s="41"/>
      <c r="AP29" s="41"/>
      <c r="AQ29" s="41"/>
      <c r="AR29" s="41"/>
      <c r="AS29" s="53">
        <f>SUM(AR29:AR29)</f>
        <v>0</v>
      </c>
      <c r="AT29" s="13"/>
      <c r="AU29" s="13"/>
      <c r="AV29" s="13"/>
      <c r="AW29" s="13"/>
      <c r="AX29" s="13"/>
      <c r="AY29" s="46">
        <f t="shared" si="2"/>
        <v>0</v>
      </c>
      <c r="AZ29" s="13"/>
      <c r="BA29" s="13"/>
      <c r="BB29" s="46">
        <f t="shared" si="8"/>
        <v>0</v>
      </c>
      <c r="BC29" s="13"/>
      <c r="BD29" s="13"/>
      <c r="BE29" s="13"/>
      <c r="BF29" s="13"/>
      <c r="BG29" s="13"/>
      <c r="BH29" s="13"/>
      <c r="BI29" s="13"/>
      <c r="BJ29" s="46">
        <f t="shared" si="9"/>
        <v>0</v>
      </c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46">
        <f t="shared" si="12"/>
        <v>0</v>
      </c>
      <c r="CA29" s="105"/>
      <c r="CB29" s="56"/>
      <c r="CC29" s="13"/>
      <c r="CD29" s="105"/>
      <c r="CE29" s="105"/>
      <c r="CF29" s="105"/>
      <c r="CG29" s="105"/>
      <c r="CH29" s="105"/>
      <c r="CI29" s="105"/>
      <c r="CJ29" s="105"/>
      <c r="CK29" s="105"/>
      <c r="CL29" s="56">
        <f t="shared" si="10"/>
        <v>0</v>
      </c>
      <c r="CM29" s="40">
        <f t="shared" si="3"/>
        <v>3613.3</v>
      </c>
      <c r="CN29" s="9" t="s">
        <v>31</v>
      </c>
      <c r="CO29" s="9">
        <v>732.35</v>
      </c>
      <c r="CP29" s="117">
        <f t="shared" si="4"/>
        <v>0</v>
      </c>
      <c r="CQ29" s="40">
        <f t="shared" si="5"/>
        <v>3613.3</v>
      </c>
    </row>
    <row r="30" spans="1:95" ht="21" customHeight="1">
      <c r="A30" s="26">
        <v>26</v>
      </c>
      <c r="B30" s="9" t="s">
        <v>32</v>
      </c>
      <c r="C30" s="11">
        <v>604.56</v>
      </c>
      <c r="D30" s="11"/>
      <c r="E30" s="11"/>
      <c r="F30" s="11"/>
      <c r="G30" s="11"/>
      <c r="H30" s="11"/>
      <c r="I30" s="11"/>
      <c r="J30" s="14"/>
      <c r="K30" s="46">
        <f t="shared" si="0"/>
        <v>0</v>
      </c>
      <c r="L30" s="13">
        <v>3382</v>
      </c>
      <c r="M30" s="13"/>
      <c r="N30" s="13"/>
      <c r="O30" s="46">
        <f t="shared" si="6"/>
        <v>3382</v>
      </c>
      <c r="P30" s="13"/>
      <c r="Q30" s="13"/>
      <c r="R30" s="13"/>
      <c r="S30" s="13"/>
      <c r="T30" s="13"/>
      <c r="U30" s="13"/>
      <c r="V30" s="13"/>
      <c r="W30" s="13"/>
      <c r="X30" s="46">
        <f t="shared" si="11"/>
        <v>0</v>
      </c>
      <c r="Y30" s="13"/>
      <c r="Z30" s="13"/>
      <c r="AA30" s="13"/>
      <c r="AB30" s="13"/>
      <c r="AC30" s="13"/>
      <c r="AD30" s="13"/>
      <c r="AE30" s="13"/>
      <c r="AF30" s="13"/>
      <c r="AG30" s="13"/>
      <c r="AH30" s="46">
        <f t="shared" si="1"/>
        <v>0</v>
      </c>
      <c r="AI30" s="13"/>
      <c r="AJ30" s="13"/>
      <c r="AK30" s="13"/>
      <c r="AL30" s="13"/>
      <c r="AM30" s="46">
        <f t="shared" si="7"/>
        <v>0</v>
      </c>
      <c r="AN30" s="41"/>
      <c r="AO30" s="41"/>
      <c r="AP30" s="41"/>
      <c r="AQ30" s="41"/>
      <c r="AR30" s="41"/>
      <c r="AS30" s="53">
        <f>SUM(AN30:AR30)</f>
        <v>0</v>
      </c>
      <c r="AT30" s="13"/>
      <c r="AU30" s="13"/>
      <c r="AV30" s="13"/>
      <c r="AW30" s="13"/>
      <c r="AX30" s="13"/>
      <c r="AY30" s="46">
        <f t="shared" si="2"/>
        <v>0</v>
      </c>
      <c r="AZ30" s="13"/>
      <c r="BA30" s="13"/>
      <c r="BB30" s="46">
        <f t="shared" si="8"/>
        <v>0</v>
      </c>
      <c r="BC30" s="13"/>
      <c r="BD30" s="13"/>
      <c r="BE30" s="13"/>
      <c r="BF30" s="13"/>
      <c r="BG30" s="13"/>
      <c r="BH30" s="13"/>
      <c r="BI30" s="13"/>
      <c r="BJ30" s="46">
        <f t="shared" si="9"/>
        <v>0</v>
      </c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46">
        <f t="shared" si="12"/>
        <v>0</v>
      </c>
      <c r="CA30" s="105"/>
      <c r="CB30" s="56"/>
      <c r="CC30" s="13"/>
      <c r="CD30" s="105"/>
      <c r="CE30" s="105"/>
      <c r="CF30" s="105"/>
      <c r="CG30" s="105"/>
      <c r="CH30" s="105"/>
      <c r="CI30" s="105"/>
      <c r="CJ30" s="105"/>
      <c r="CK30" s="105"/>
      <c r="CL30" s="56">
        <f t="shared" si="10"/>
        <v>0</v>
      </c>
      <c r="CM30" s="40">
        <f t="shared" si="3"/>
        <v>3382</v>
      </c>
      <c r="CN30" s="9" t="s">
        <v>32</v>
      </c>
      <c r="CO30" s="9">
        <v>604.56</v>
      </c>
      <c r="CP30" s="117">
        <f t="shared" si="4"/>
        <v>0</v>
      </c>
      <c r="CQ30" s="40">
        <f t="shared" si="5"/>
        <v>3382</v>
      </c>
    </row>
    <row r="31" spans="1:95" ht="21" customHeight="1">
      <c r="A31" s="26"/>
      <c r="B31" s="9" t="s">
        <v>142</v>
      </c>
      <c r="C31" s="11"/>
      <c r="D31" s="11"/>
      <c r="E31" s="11"/>
      <c r="F31" s="11"/>
      <c r="G31" s="11"/>
      <c r="H31" s="11">
        <v>1057</v>
      </c>
      <c r="I31" s="11"/>
      <c r="J31" s="14"/>
      <c r="K31" s="46">
        <f t="shared" si="0"/>
        <v>1057</v>
      </c>
      <c r="L31" s="13"/>
      <c r="M31" s="13"/>
      <c r="N31" s="13"/>
      <c r="O31" s="46">
        <f t="shared" si="6"/>
        <v>0</v>
      </c>
      <c r="P31" s="13"/>
      <c r="Q31" s="13"/>
      <c r="R31" s="13"/>
      <c r="S31" s="13"/>
      <c r="T31" s="13"/>
      <c r="U31" s="13"/>
      <c r="V31" s="13"/>
      <c r="W31" s="13"/>
      <c r="X31" s="46">
        <f t="shared" si="11"/>
        <v>0</v>
      </c>
      <c r="Y31" s="13"/>
      <c r="Z31" s="13"/>
      <c r="AA31" s="13"/>
      <c r="AB31" s="13"/>
      <c r="AC31" s="13"/>
      <c r="AD31" s="13"/>
      <c r="AE31" s="13"/>
      <c r="AF31" s="13"/>
      <c r="AG31" s="13"/>
      <c r="AH31" s="46">
        <f t="shared" si="1"/>
        <v>0</v>
      </c>
      <c r="AI31" s="13"/>
      <c r="AJ31" s="13"/>
      <c r="AK31" s="13"/>
      <c r="AL31" s="13"/>
      <c r="AM31" s="46">
        <f t="shared" si="7"/>
        <v>0</v>
      </c>
      <c r="AN31" s="41"/>
      <c r="AO31" s="41"/>
      <c r="AP31" s="41"/>
      <c r="AQ31" s="41"/>
      <c r="AR31" s="41"/>
      <c r="AS31" s="53">
        <f>SUM(AN31:AR31)</f>
        <v>0</v>
      </c>
      <c r="AT31" s="13"/>
      <c r="AU31" s="13"/>
      <c r="AV31" s="13"/>
      <c r="AW31" s="13"/>
      <c r="AX31" s="13"/>
      <c r="AY31" s="46">
        <f t="shared" si="2"/>
        <v>0</v>
      </c>
      <c r="AZ31" s="13"/>
      <c r="BA31" s="13"/>
      <c r="BB31" s="46"/>
      <c r="BC31" s="13"/>
      <c r="BD31" s="13"/>
      <c r="BE31" s="13"/>
      <c r="BF31" s="13"/>
      <c r="BG31" s="13"/>
      <c r="BH31" s="13"/>
      <c r="BI31" s="13"/>
      <c r="BJ31" s="46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46">
        <f t="shared" si="12"/>
        <v>0</v>
      </c>
      <c r="CA31" s="105"/>
      <c r="CB31" s="56"/>
      <c r="CC31" s="13"/>
      <c r="CD31" s="105"/>
      <c r="CE31" s="105"/>
      <c r="CF31" s="105"/>
      <c r="CG31" s="105"/>
      <c r="CH31" s="105"/>
      <c r="CI31" s="105"/>
      <c r="CJ31" s="105"/>
      <c r="CK31" s="105"/>
      <c r="CL31" s="56">
        <f t="shared" si="10"/>
        <v>0</v>
      </c>
      <c r="CM31" s="40">
        <f t="shared" si="3"/>
        <v>1057</v>
      </c>
      <c r="CN31" s="9" t="s">
        <v>142</v>
      </c>
      <c r="CO31" s="9"/>
      <c r="CP31" s="117">
        <f t="shared" si="4"/>
        <v>0</v>
      </c>
      <c r="CQ31" s="40">
        <f t="shared" si="5"/>
        <v>1057</v>
      </c>
    </row>
    <row r="32" spans="1:95" ht="21" customHeight="1">
      <c r="A32" s="26">
        <v>27</v>
      </c>
      <c r="B32" s="9" t="s">
        <v>33</v>
      </c>
      <c r="C32" s="11">
        <v>393.44</v>
      </c>
      <c r="D32" s="11"/>
      <c r="E32" s="11"/>
      <c r="F32" s="11"/>
      <c r="G32" s="11"/>
      <c r="H32" s="11"/>
      <c r="I32" s="11"/>
      <c r="J32" s="14"/>
      <c r="K32" s="46">
        <f t="shared" si="0"/>
        <v>0</v>
      </c>
      <c r="L32" s="13"/>
      <c r="M32" s="13"/>
      <c r="N32" s="13">
        <v>1568</v>
      </c>
      <c r="O32" s="46">
        <f t="shared" si="6"/>
        <v>1568</v>
      </c>
      <c r="P32" s="13"/>
      <c r="Q32" s="13"/>
      <c r="R32" s="13"/>
      <c r="S32" s="13"/>
      <c r="T32" s="13"/>
      <c r="U32" s="13"/>
      <c r="V32" s="13"/>
      <c r="W32" s="13"/>
      <c r="X32" s="46">
        <f t="shared" si="11"/>
        <v>0</v>
      </c>
      <c r="Y32" s="13"/>
      <c r="Z32" s="13"/>
      <c r="AA32" s="13"/>
      <c r="AB32" s="13"/>
      <c r="AC32" s="13"/>
      <c r="AD32" s="13"/>
      <c r="AE32" s="13"/>
      <c r="AF32" s="13"/>
      <c r="AG32" s="13"/>
      <c r="AH32" s="46">
        <f t="shared" si="1"/>
        <v>0</v>
      </c>
      <c r="AI32" s="13"/>
      <c r="AJ32" s="13"/>
      <c r="AK32" s="13"/>
      <c r="AL32" s="13"/>
      <c r="AM32" s="46">
        <f t="shared" si="7"/>
        <v>0</v>
      </c>
      <c r="AN32" s="41"/>
      <c r="AO32" s="41"/>
      <c r="AP32" s="41"/>
      <c r="AQ32" s="41"/>
      <c r="AR32" s="41"/>
      <c r="AS32" s="53">
        <f>SUM(AN32:AR32)</f>
        <v>0</v>
      </c>
      <c r="AT32" s="13"/>
      <c r="AU32" s="13"/>
      <c r="AV32" s="13"/>
      <c r="AW32" s="13"/>
      <c r="AX32" s="13"/>
      <c r="AY32" s="46">
        <f t="shared" si="2"/>
        <v>0</v>
      </c>
      <c r="AZ32" s="13"/>
      <c r="BA32" s="13"/>
      <c r="BB32" s="46">
        <f t="shared" si="8"/>
        <v>0</v>
      </c>
      <c r="BC32" s="13"/>
      <c r="BD32" s="13"/>
      <c r="BE32" s="13"/>
      <c r="BF32" s="13"/>
      <c r="BG32" s="13"/>
      <c r="BH32" s="13"/>
      <c r="BI32" s="13"/>
      <c r="BJ32" s="46">
        <f>SUM(BC32:BI32)</f>
        <v>0</v>
      </c>
      <c r="BK32" s="13">
        <v>1118.8</v>
      </c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46">
        <f t="shared" si="12"/>
        <v>1118.8</v>
      </c>
      <c r="CA32" s="105"/>
      <c r="CB32" s="56"/>
      <c r="CC32" s="13"/>
      <c r="CD32" s="105"/>
      <c r="CE32" s="105"/>
      <c r="CF32" s="105"/>
      <c r="CG32" s="105"/>
      <c r="CH32" s="105"/>
      <c r="CI32" s="105"/>
      <c r="CJ32" s="105"/>
      <c r="CK32" s="105"/>
      <c r="CL32" s="56">
        <f t="shared" si="10"/>
        <v>0</v>
      </c>
      <c r="CM32" s="40">
        <f t="shared" si="3"/>
        <v>2686.8</v>
      </c>
      <c r="CN32" s="9" t="s">
        <v>33</v>
      </c>
      <c r="CO32" s="9">
        <v>393.44</v>
      </c>
      <c r="CP32" s="117">
        <f t="shared" si="4"/>
        <v>1118.8</v>
      </c>
      <c r="CQ32" s="40">
        <f t="shared" si="5"/>
        <v>1568</v>
      </c>
    </row>
    <row r="33" spans="1:95" s="222" customFormat="1" ht="21" customHeight="1">
      <c r="A33" s="26">
        <v>28</v>
      </c>
      <c r="B33" s="9" t="s">
        <v>34</v>
      </c>
      <c r="C33" s="11">
        <v>354.7</v>
      </c>
      <c r="D33" s="11"/>
      <c r="E33" s="11"/>
      <c r="F33" s="11"/>
      <c r="G33" s="11"/>
      <c r="H33" s="11"/>
      <c r="I33" s="11"/>
      <c r="J33" s="14"/>
      <c r="K33" s="46">
        <f t="shared" si="0"/>
        <v>0</v>
      </c>
      <c r="L33" s="13"/>
      <c r="M33" s="13"/>
      <c r="N33" s="13">
        <v>1544</v>
      </c>
      <c r="O33" s="46">
        <f t="shared" si="6"/>
        <v>1544</v>
      </c>
      <c r="P33" s="13"/>
      <c r="Q33" s="13"/>
      <c r="R33" s="13"/>
      <c r="S33" s="13"/>
      <c r="T33" s="13"/>
      <c r="U33" s="13"/>
      <c r="V33" s="13"/>
      <c r="W33" s="13"/>
      <c r="X33" s="46">
        <f t="shared" si="11"/>
        <v>0</v>
      </c>
      <c r="Y33" s="13"/>
      <c r="Z33" s="13"/>
      <c r="AA33" s="13"/>
      <c r="AB33" s="13"/>
      <c r="AC33" s="13"/>
      <c r="AD33" s="13"/>
      <c r="AE33" s="13"/>
      <c r="AF33" s="13"/>
      <c r="AG33" s="13"/>
      <c r="AH33" s="46">
        <f t="shared" si="1"/>
        <v>0</v>
      </c>
      <c r="AI33" s="13"/>
      <c r="AJ33" s="13"/>
      <c r="AK33" s="13"/>
      <c r="AL33" s="13"/>
      <c r="AM33" s="46">
        <f t="shared" si="7"/>
        <v>0</v>
      </c>
      <c r="AN33" s="41"/>
      <c r="AO33" s="41"/>
      <c r="AP33" s="41"/>
      <c r="AQ33" s="41"/>
      <c r="AR33" s="41"/>
      <c r="AS33" s="53">
        <f>SUM(AN33:AR33)</f>
        <v>0</v>
      </c>
      <c r="AT33" s="13"/>
      <c r="AU33" s="13"/>
      <c r="AV33" s="13"/>
      <c r="AW33" s="13"/>
      <c r="AX33" s="13"/>
      <c r="AY33" s="46">
        <f t="shared" si="2"/>
        <v>0</v>
      </c>
      <c r="AZ33" s="13"/>
      <c r="BA33" s="13"/>
      <c r="BB33" s="46">
        <f t="shared" si="8"/>
        <v>0</v>
      </c>
      <c r="BC33" s="13"/>
      <c r="BD33" s="13"/>
      <c r="BE33" s="13"/>
      <c r="BF33" s="13"/>
      <c r="BG33" s="13"/>
      <c r="BH33" s="13"/>
      <c r="BI33" s="13"/>
      <c r="BJ33" s="46">
        <f>SUM(BC33:BI33)</f>
        <v>0</v>
      </c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46">
        <f t="shared" si="12"/>
        <v>0</v>
      </c>
      <c r="CA33" s="105"/>
      <c r="CB33" s="56"/>
      <c r="CC33" s="13"/>
      <c r="CD33" s="105"/>
      <c r="CE33" s="105"/>
      <c r="CF33" s="105"/>
      <c r="CG33" s="105"/>
      <c r="CH33" s="105"/>
      <c r="CI33" s="105"/>
      <c r="CJ33" s="105"/>
      <c r="CK33" s="105"/>
      <c r="CL33" s="56">
        <f t="shared" si="10"/>
        <v>0</v>
      </c>
      <c r="CM33" s="40">
        <f t="shared" si="3"/>
        <v>1544</v>
      </c>
      <c r="CN33" s="9" t="s">
        <v>34</v>
      </c>
      <c r="CO33" s="9">
        <v>354.7</v>
      </c>
      <c r="CP33" s="117">
        <f t="shared" si="4"/>
        <v>0</v>
      </c>
      <c r="CQ33" s="40">
        <f t="shared" si="5"/>
        <v>1544</v>
      </c>
    </row>
    <row r="34" spans="1:95" s="223" customFormat="1" ht="21" customHeight="1">
      <c r="A34" s="23"/>
      <c r="B34" s="224" t="s">
        <v>0</v>
      </c>
      <c r="C34" s="224" t="s">
        <v>1</v>
      </c>
      <c r="D34" s="4"/>
      <c r="E34" s="4"/>
      <c r="F34" s="4"/>
      <c r="G34" s="4"/>
      <c r="H34" s="4"/>
      <c r="I34" s="4"/>
      <c r="J34" s="230" t="s">
        <v>165</v>
      </c>
      <c r="K34" s="230"/>
      <c r="L34" s="224" t="s">
        <v>69</v>
      </c>
      <c r="M34" s="224"/>
      <c r="N34" s="224"/>
      <c r="O34" s="224"/>
      <c r="P34" s="224" t="s">
        <v>71</v>
      </c>
      <c r="Q34" s="224"/>
      <c r="R34" s="224"/>
      <c r="S34" s="224"/>
      <c r="T34" s="224"/>
      <c r="U34" s="224"/>
      <c r="V34" s="224"/>
      <c r="W34" s="224"/>
      <c r="X34" s="224"/>
      <c r="Y34" s="232" t="s">
        <v>73</v>
      </c>
      <c r="Z34" s="233"/>
      <c r="AA34" s="233"/>
      <c r="AB34" s="233"/>
      <c r="AC34" s="233"/>
      <c r="AD34" s="233"/>
      <c r="AE34" s="233"/>
      <c r="AF34" s="233"/>
      <c r="AG34" s="233"/>
      <c r="AH34" s="256"/>
      <c r="AI34" s="232" t="s">
        <v>74</v>
      </c>
      <c r="AJ34" s="233"/>
      <c r="AK34" s="233"/>
      <c r="AL34" s="233"/>
      <c r="AM34" s="233"/>
      <c r="AN34" s="232" t="s">
        <v>75</v>
      </c>
      <c r="AO34" s="233"/>
      <c r="AP34" s="233"/>
      <c r="AQ34" s="233"/>
      <c r="AR34" s="233"/>
      <c r="AS34" s="256"/>
      <c r="AT34" s="224"/>
      <c r="AU34" s="224"/>
      <c r="AV34" s="224"/>
      <c r="AW34" s="224"/>
      <c r="AX34" s="224"/>
      <c r="AY34" s="224"/>
      <c r="AZ34" s="224" t="s">
        <v>79</v>
      </c>
      <c r="BA34" s="224"/>
      <c r="BB34" s="224"/>
      <c r="BC34" s="232" t="s">
        <v>214</v>
      </c>
      <c r="BD34" s="233"/>
      <c r="BE34" s="233"/>
      <c r="BF34" s="233"/>
      <c r="BG34" s="233"/>
      <c r="BH34" s="233"/>
      <c r="BI34" s="233"/>
      <c r="BJ34" s="256"/>
      <c r="BK34" s="232" t="s">
        <v>99</v>
      </c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56"/>
      <c r="CA34" s="233"/>
      <c r="CB34" s="256"/>
      <c r="CC34" s="233"/>
      <c r="CD34" s="233"/>
      <c r="CE34" s="233"/>
      <c r="CF34" s="233"/>
      <c r="CG34" s="233"/>
      <c r="CH34" s="233"/>
      <c r="CI34" s="233"/>
      <c r="CJ34" s="233"/>
      <c r="CK34" s="233"/>
      <c r="CL34" s="256"/>
      <c r="CQ34" s="8"/>
    </row>
    <row r="35" spans="1:95" ht="21" customHeight="1">
      <c r="A35" s="25"/>
      <c r="B35" s="230"/>
      <c r="C35" s="224"/>
      <c r="D35" s="4"/>
      <c r="E35" s="4"/>
      <c r="F35" s="4"/>
      <c r="G35" s="4"/>
      <c r="H35" s="4"/>
      <c r="I35" s="4"/>
      <c r="J35" s="230"/>
      <c r="K35" s="230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38"/>
      <c r="Z35" s="239"/>
      <c r="AA35" s="239"/>
      <c r="AB35" s="239"/>
      <c r="AC35" s="239"/>
      <c r="AD35" s="239"/>
      <c r="AE35" s="239"/>
      <c r="AF35" s="239"/>
      <c r="AG35" s="239"/>
      <c r="AH35" s="257"/>
      <c r="AI35" s="238"/>
      <c r="AJ35" s="239"/>
      <c r="AK35" s="239"/>
      <c r="AL35" s="239"/>
      <c r="AM35" s="239"/>
      <c r="AN35" s="238"/>
      <c r="AO35" s="239"/>
      <c r="AP35" s="239"/>
      <c r="AQ35" s="239"/>
      <c r="AR35" s="239"/>
      <c r="AS35" s="257"/>
      <c r="AT35" s="224"/>
      <c r="AU35" s="224"/>
      <c r="AV35" s="224"/>
      <c r="AW35" s="224"/>
      <c r="AX35" s="224"/>
      <c r="AY35" s="224"/>
      <c r="AZ35" s="224"/>
      <c r="BA35" s="224"/>
      <c r="BB35" s="224"/>
      <c r="BC35" s="238"/>
      <c r="BD35" s="239"/>
      <c r="BE35" s="239"/>
      <c r="BF35" s="239"/>
      <c r="BG35" s="239"/>
      <c r="BH35" s="239"/>
      <c r="BI35" s="239"/>
      <c r="BJ35" s="257"/>
      <c r="BK35" s="238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57"/>
      <c r="CA35" s="239"/>
      <c r="CB35" s="257"/>
      <c r="CC35" s="239"/>
      <c r="CD35" s="239"/>
      <c r="CE35" s="239"/>
      <c r="CF35" s="239"/>
      <c r="CG35" s="239"/>
      <c r="CH35" s="239"/>
      <c r="CI35" s="239"/>
      <c r="CJ35" s="239"/>
      <c r="CK35" s="239"/>
      <c r="CL35" s="257"/>
      <c r="CQ35" s="8"/>
    </row>
    <row r="36" spans="1:95" ht="21" customHeight="1">
      <c r="A36" s="24" t="s">
        <v>65</v>
      </c>
      <c r="B36" s="230"/>
      <c r="C36" s="224"/>
      <c r="D36" s="146" t="s">
        <v>68</v>
      </c>
      <c r="E36" s="146" t="s">
        <v>170</v>
      </c>
      <c r="F36" s="146" t="s">
        <v>116</v>
      </c>
      <c r="G36" s="146" t="s">
        <v>171</v>
      </c>
      <c r="H36" s="146" t="s">
        <v>100</v>
      </c>
      <c r="I36" s="146" t="s">
        <v>72</v>
      </c>
      <c r="J36" s="146" t="s">
        <v>169</v>
      </c>
      <c r="K36" s="45" t="s">
        <v>70</v>
      </c>
      <c r="L36" s="4" t="s">
        <v>173</v>
      </c>
      <c r="M36" s="4" t="s">
        <v>174</v>
      </c>
      <c r="N36" s="4" t="s">
        <v>175</v>
      </c>
      <c r="O36" s="45" t="s">
        <v>70</v>
      </c>
      <c r="P36" s="4" t="s">
        <v>101</v>
      </c>
      <c r="Q36" s="4" t="s">
        <v>176</v>
      </c>
      <c r="R36" s="4" t="s">
        <v>177</v>
      </c>
      <c r="S36" s="4" t="s">
        <v>178</v>
      </c>
      <c r="T36" s="4" t="s">
        <v>179</v>
      </c>
      <c r="U36" s="4" t="s">
        <v>182</v>
      </c>
      <c r="V36" s="4" t="s">
        <v>181</v>
      </c>
      <c r="W36" s="4" t="s">
        <v>180</v>
      </c>
      <c r="X36" s="45" t="s">
        <v>70</v>
      </c>
      <c r="Y36" s="4" t="s">
        <v>72</v>
      </c>
      <c r="Z36" s="4" t="s">
        <v>183</v>
      </c>
      <c r="AA36" s="4" t="s">
        <v>102</v>
      </c>
      <c r="AB36" s="4" t="s">
        <v>184</v>
      </c>
      <c r="AC36" s="4" t="s">
        <v>188</v>
      </c>
      <c r="AD36" s="4" t="s">
        <v>187</v>
      </c>
      <c r="AE36" s="4" t="s">
        <v>186</v>
      </c>
      <c r="AF36" s="4" t="s">
        <v>140</v>
      </c>
      <c r="AG36" s="4" t="s">
        <v>185</v>
      </c>
      <c r="AH36" s="45" t="s">
        <v>70</v>
      </c>
      <c r="AI36" s="4" t="s">
        <v>189</v>
      </c>
      <c r="AJ36" s="4" t="s">
        <v>190</v>
      </c>
      <c r="AK36" s="4" t="s">
        <v>189</v>
      </c>
      <c r="AL36" s="4" t="s">
        <v>191</v>
      </c>
      <c r="AM36" s="45" t="s">
        <v>70</v>
      </c>
      <c r="AN36" s="51" t="s">
        <v>192</v>
      </c>
      <c r="AO36" s="51" t="s">
        <v>193</v>
      </c>
      <c r="AP36" s="51" t="s">
        <v>97</v>
      </c>
      <c r="AQ36" s="51" t="s">
        <v>195</v>
      </c>
      <c r="AR36" s="51" t="s">
        <v>194</v>
      </c>
      <c r="AS36" s="45" t="s">
        <v>70</v>
      </c>
      <c r="AT36" s="98" t="s">
        <v>95</v>
      </c>
      <c r="AU36" s="98" t="s">
        <v>208</v>
      </c>
      <c r="AV36" s="98" t="s">
        <v>209</v>
      </c>
      <c r="AW36" s="98" t="s">
        <v>210</v>
      </c>
      <c r="AX36" s="98" t="s">
        <v>211</v>
      </c>
      <c r="AY36" s="45" t="s">
        <v>70</v>
      </c>
      <c r="AZ36" s="4" t="s">
        <v>212</v>
      </c>
      <c r="BA36" s="4" t="s">
        <v>213</v>
      </c>
      <c r="BB36" s="45" t="s">
        <v>70</v>
      </c>
      <c r="BC36" s="4" t="s">
        <v>215</v>
      </c>
      <c r="BD36" s="4" t="s">
        <v>191</v>
      </c>
      <c r="BE36" s="4" t="s">
        <v>216</v>
      </c>
      <c r="BF36" s="4" t="s">
        <v>217</v>
      </c>
      <c r="BG36" s="4" t="s">
        <v>218</v>
      </c>
      <c r="BH36" s="4" t="s">
        <v>72</v>
      </c>
      <c r="BI36" s="4" t="s">
        <v>219</v>
      </c>
      <c r="BJ36" s="45" t="s">
        <v>70</v>
      </c>
      <c r="BK36" s="4" t="s">
        <v>100</v>
      </c>
      <c r="BL36" s="4" t="s">
        <v>220</v>
      </c>
      <c r="BM36" s="4" t="s">
        <v>221</v>
      </c>
      <c r="BN36" s="4" t="s">
        <v>178</v>
      </c>
      <c r="BO36" s="4" t="s">
        <v>222</v>
      </c>
      <c r="BP36" s="4" t="s">
        <v>223</v>
      </c>
      <c r="BQ36" s="4" t="s">
        <v>224</v>
      </c>
      <c r="BR36" s="4" t="s">
        <v>102</v>
      </c>
      <c r="BS36" s="4" t="s">
        <v>225</v>
      </c>
      <c r="BT36" s="4" t="s">
        <v>226</v>
      </c>
      <c r="BU36" s="4" t="s">
        <v>95</v>
      </c>
      <c r="BV36" s="4" t="s">
        <v>138</v>
      </c>
      <c r="BW36" s="4" t="s">
        <v>228</v>
      </c>
      <c r="BX36" s="4" t="s">
        <v>139</v>
      </c>
      <c r="BY36" s="4" t="s">
        <v>227</v>
      </c>
      <c r="BZ36" s="45" t="s">
        <v>70</v>
      </c>
      <c r="CA36" s="104"/>
      <c r="CB36" s="55" t="s">
        <v>70</v>
      </c>
      <c r="CC36" s="4" t="s">
        <v>141</v>
      </c>
      <c r="CD36" s="104" t="s">
        <v>230</v>
      </c>
      <c r="CE36" s="104" t="s">
        <v>144</v>
      </c>
      <c r="CF36" s="104" t="s">
        <v>231</v>
      </c>
      <c r="CG36" s="104" t="s">
        <v>233</v>
      </c>
      <c r="CH36" s="104" t="s">
        <v>234</v>
      </c>
      <c r="CI36" s="104" t="s">
        <v>232</v>
      </c>
      <c r="CJ36" s="104" t="s">
        <v>143</v>
      </c>
      <c r="CK36" s="104" t="s">
        <v>101</v>
      </c>
      <c r="CL36" s="55" t="s">
        <v>70</v>
      </c>
      <c r="CM36" s="42" t="s">
        <v>77</v>
      </c>
      <c r="CN36" s="61" t="s">
        <v>64</v>
      </c>
      <c r="CO36" s="61" t="s">
        <v>80</v>
      </c>
      <c r="CP36" s="107" t="s">
        <v>103</v>
      </c>
      <c r="CQ36" s="8" t="s">
        <v>113</v>
      </c>
    </row>
    <row r="37" spans="1:95" ht="21" customHeight="1">
      <c r="A37" s="26">
        <v>29</v>
      </c>
      <c r="B37" s="9" t="s">
        <v>35</v>
      </c>
      <c r="C37" s="11">
        <v>735.11</v>
      </c>
      <c r="D37" s="11"/>
      <c r="E37" s="11"/>
      <c r="F37" s="11"/>
      <c r="G37" s="11"/>
      <c r="H37" s="11"/>
      <c r="I37" s="11"/>
      <c r="J37" s="14"/>
      <c r="K37" s="46">
        <f aca="true" t="shared" si="13" ref="K37:K64">SUM(J37:J37)</f>
        <v>0</v>
      </c>
      <c r="L37" s="13"/>
      <c r="M37" s="13"/>
      <c r="N37" s="13">
        <v>1786</v>
      </c>
      <c r="O37" s="46">
        <f aca="true" t="shared" si="14" ref="O37:O44">SUM(L37:N37)</f>
        <v>1786</v>
      </c>
      <c r="P37" s="13"/>
      <c r="Q37" s="13"/>
      <c r="R37" s="13"/>
      <c r="S37" s="13"/>
      <c r="T37" s="13"/>
      <c r="U37" s="13"/>
      <c r="V37" s="13"/>
      <c r="W37" s="13"/>
      <c r="X37" s="46">
        <f t="shared" si="11"/>
        <v>0</v>
      </c>
      <c r="Y37" s="13"/>
      <c r="Z37" s="13"/>
      <c r="AA37" s="13"/>
      <c r="AB37" s="13"/>
      <c r="AC37" s="13"/>
      <c r="AD37" s="13"/>
      <c r="AE37" s="13"/>
      <c r="AF37" s="13"/>
      <c r="AG37" s="13"/>
      <c r="AH37" s="46">
        <f aca="true" t="shared" si="15" ref="AH37:AH44">SUM(Y37:AG37)</f>
        <v>0</v>
      </c>
      <c r="AI37" s="13"/>
      <c r="AJ37" s="13"/>
      <c r="AK37" s="13"/>
      <c r="AL37" s="13"/>
      <c r="AM37" s="46">
        <f aca="true" t="shared" si="16" ref="AM37:AM44">SUM(AI37:AL37)</f>
        <v>0</v>
      </c>
      <c r="AN37" s="41"/>
      <c r="AO37" s="41"/>
      <c r="AP37" s="41"/>
      <c r="AQ37" s="41"/>
      <c r="AR37" s="41"/>
      <c r="AS37" s="52"/>
      <c r="AT37" s="13"/>
      <c r="AU37" s="13"/>
      <c r="AV37" s="13"/>
      <c r="AW37" s="13"/>
      <c r="AX37" s="13"/>
      <c r="AY37" s="46">
        <f aca="true" t="shared" si="17" ref="AY37:AY61">SUM(AT37:AX37)</f>
        <v>0</v>
      </c>
      <c r="AZ37" s="13"/>
      <c r="BA37" s="13"/>
      <c r="BB37" s="46">
        <f aca="true" t="shared" si="18" ref="BB37:BB44">SUM(AZ37:AZ37)</f>
        <v>0</v>
      </c>
      <c r="BC37" s="13"/>
      <c r="BD37" s="13"/>
      <c r="BE37" s="13"/>
      <c r="BF37" s="13"/>
      <c r="BG37" s="13"/>
      <c r="BH37" s="13"/>
      <c r="BI37" s="13"/>
      <c r="BJ37" s="46">
        <f aca="true" t="shared" si="19" ref="BJ37:BJ44">SUM(BC37:BI37)</f>
        <v>0</v>
      </c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46">
        <f aca="true" t="shared" si="20" ref="BZ37:BZ61">SUM(BK37:BY37)</f>
        <v>0</v>
      </c>
      <c r="CA37" s="105"/>
      <c r="CB37" s="56"/>
      <c r="CC37" s="13"/>
      <c r="CD37" s="105">
        <v>93034</v>
      </c>
      <c r="CE37" s="105"/>
      <c r="CF37" s="105"/>
      <c r="CG37" s="105"/>
      <c r="CH37" s="105"/>
      <c r="CI37" s="105"/>
      <c r="CJ37" s="105"/>
      <c r="CK37" s="105"/>
      <c r="CL37" s="56">
        <f aca="true" t="shared" si="21" ref="CL37:CL61">SUM(CC37:CK37)</f>
        <v>93034</v>
      </c>
      <c r="CM37" s="40">
        <f aca="true" t="shared" si="22" ref="CM37:CM61">K37+O37+X37+AH37+AM37+AS37+AY37+BB37+BJ37+BZ37+CB37+CL37</f>
        <v>94820</v>
      </c>
      <c r="CN37" s="9" t="s">
        <v>35</v>
      </c>
      <c r="CO37" s="9">
        <v>735.11</v>
      </c>
      <c r="CP37" s="117">
        <f aca="true" t="shared" si="23" ref="CP37:CP61">AY37+BB37+BJ37+BZ37+CB37+CL37</f>
        <v>93034</v>
      </c>
      <c r="CQ37" s="40">
        <f aca="true" t="shared" si="24" ref="CQ37:CQ61">K37+O37+X37+AH37+AM37+AS37</f>
        <v>1786</v>
      </c>
    </row>
    <row r="38" spans="1:95" ht="21" customHeight="1">
      <c r="A38" s="26">
        <v>30</v>
      </c>
      <c r="B38" s="9" t="s">
        <v>36</v>
      </c>
      <c r="C38" s="11">
        <v>861.35</v>
      </c>
      <c r="D38" s="11"/>
      <c r="E38" s="11"/>
      <c r="F38" s="11"/>
      <c r="G38" s="11"/>
      <c r="H38" s="11"/>
      <c r="I38" s="11"/>
      <c r="J38" s="14"/>
      <c r="K38" s="46">
        <f t="shared" si="13"/>
        <v>0</v>
      </c>
      <c r="L38" s="13"/>
      <c r="M38" s="13"/>
      <c r="N38" s="13">
        <v>1866</v>
      </c>
      <c r="O38" s="46">
        <f t="shared" si="14"/>
        <v>1866</v>
      </c>
      <c r="P38" s="13"/>
      <c r="Q38" s="13"/>
      <c r="R38" s="13"/>
      <c r="S38" s="13"/>
      <c r="T38" s="13"/>
      <c r="U38" s="13"/>
      <c r="V38" s="13"/>
      <c r="W38" s="13"/>
      <c r="X38" s="46">
        <f t="shared" si="11"/>
        <v>0</v>
      </c>
      <c r="Y38" s="13"/>
      <c r="Z38" s="13"/>
      <c r="AA38" s="13"/>
      <c r="AB38" s="13"/>
      <c r="AC38" s="13"/>
      <c r="AD38" s="13"/>
      <c r="AE38" s="13"/>
      <c r="AF38" s="13"/>
      <c r="AG38" s="13"/>
      <c r="AH38" s="46">
        <f t="shared" si="15"/>
        <v>0</v>
      </c>
      <c r="AI38" s="13"/>
      <c r="AJ38" s="13"/>
      <c r="AK38" s="13"/>
      <c r="AL38" s="13"/>
      <c r="AM38" s="46">
        <f t="shared" si="16"/>
        <v>0</v>
      </c>
      <c r="AN38" s="41"/>
      <c r="AO38" s="41"/>
      <c r="AP38" s="41"/>
      <c r="AQ38" s="41"/>
      <c r="AR38" s="41"/>
      <c r="AS38" s="52"/>
      <c r="AT38" s="13"/>
      <c r="AU38" s="13"/>
      <c r="AV38" s="13"/>
      <c r="AW38" s="13"/>
      <c r="AX38" s="13"/>
      <c r="AY38" s="46">
        <f t="shared" si="17"/>
        <v>0</v>
      </c>
      <c r="AZ38" s="13"/>
      <c r="BA38" s="13"/>
      <c r="BB38" s="46">
        <f t="shared" si="18"/>
        <v>0</v>
      </c>
      <c r="BC38" s="13"/>
      <c r="BD38" s="13"/>
      <c r="BE38" s="13"/>
      <c r="BF38" s="13"/>
      <c r="BG38" s="13"/>
      <c r="BH38" s="13"/>
      <c r="BI38" s="13"/>
      <c r="BJ38" s="46">
        <f t="shared" si="19"/>
        <v>0</v>
      </c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46">
        <f t="shared" si="20"/>
        <v>0</v>
      </c>
      <c r="CA38" s="105"/>
      <c r="CB38" s="56"/>
      <c r="CC38" s="13"/>
      <c r="CD38" s="105"/>
      <c r="CE38" s="105"/>
      <c r="CF38" s="105"/>
      <c r="CG38" s="105">
        <v>38996</v>
      </c>
      <c r="CH38" s="105"/>
      <c r="CI38" s="105"/>
      <c r="CJ38" s="105"/>
      <c r="CK38" s="105"/>
      <c r="CL38" s="56">
        <f t="shared" si="21"/>
        <v>38996</v>
      </c>
      <c r="CM38" s="40">
        <f t="shared" si="22"/>
        <v>40862</v>
      </c>
      <c r="CN38" s="9" t="s">
        <v>36</v>
      </c>
      <c r="CO38" s="9">
        <v>861.35</v>
      </c>
      <c r="CP38" s="117">
        <f t="shared" si="23"/>
        <v>38996</v>
      </c>
      <c r="CQ38" s="40">
        <f t="shared" si="24"/>
        <v>1866</v>
      </c>
    </row>
    <row r="39" spans="1:95" ht="21" customHeight="1">
      <c r="A39" s="26">
        <v>31</v>
      </c>
      <c r="B39" s="9" t="s">
        <v>37</v>
      </c>
      <c r="C39" s="11">
        <v>288.26</v>
      </c>
      <c r="D39" s="11"/>
      <c r="E39" s="11"/>
      <c r="F39" s="11"/>
      <c r="G39" s="11"/>
      <c r="H39" s="11"/>
      <c r="I39" s="11"/>
      <c r="J39" s="14"/>
      <c r="K39" s="46">
        <f t="shared" si="13"/>
        <v>0</v>
      </c>
      <c r="L39" s="13"/>
      <c r="M39" s="13"/>
      <c r="N39" s="13">
        <v>2201</v>
      </c>
      <c r="O39" s="46">
        <f t="shared" si="14"/>
        <v>2201</v>
      </c>
      <c r="P39" s="13"/>
      <c r="Q39" s="13"/>
      <c r="R39" s="13"/>
      <c r="S39" s="13"/>
      <c r="T39" s="13"/>
      <c r="U39" s="13"/>
      <c r="V39" s="13"/>
      <c r="W39" s="13"/>
      <c r="X39" s="46">
        <f t="shared" si="11"/>
        <v>0</v>
      </c>
      <c r="Y39" s="13"/>
      <c r="Z39" s="13"/>
      <c r="AA39" s="13"/>
      <c r="AB39" s="13"/>
      <c r="AC39" s="13"/>
      <c r="AD39" s="13"/>
      <c r="AE39" s="13"/>
      <c r="AF39" s="13"/>
      <c r="AG39" s="13"/>
      <c r="AH39" s="46">
        <f t="shared" si="15"/>
        <v>0</v>
      </c>
      <c r="AI39" s="13"/>
      <c r="AJ39" s="13"/>
      <c r="AK39" s="13"/>
      <c r="AL39" s="13"/>
      <c r="AM39" s="46">
        <f t="shared" si="16"/>
        <v>0</v>
      </c>
      <c r="AN39" s="41"/>
      <c r="AO39" s="41"/>
      <c r="AP39" s="41"/>
      <c r="AQ39" s="41"/>
      <c r="AR39" s="41"/>
      <c r="AS39" s="52"/>
      <c r="AT39" s="13"/>
      <c r="AU39" s="13"/>
      <c r="AV39" s="13"/>
      <c r="AW39" s="13"/>
      <c r="AX39" s="13"/>
      <c r="AY39" s="46">
        <f t="shared" si="17"/>
        <v>0</v>
      </c>
      <c r="AZ39" s="13"/>
      <c r="BA39" s="13"/>
      <c r="BB39" s="46">
        <f t="shared" si="18"/>
        <v>0</v>
      </c>
      <c r="BC39" s="13"/>
      <c r="BD39" s="13"/>
      <c r="BE39" s="13"/>
      <c r="BF39" s="13"/>
      <c r="BG39" s="13"/>
      <c r="BH39" s="13"/>
      <c r="BI39" s="13"/>
      <c r="BJ39" s="46">
        <f t="shared" si="19"/>
        <v>0</v>
      </c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46">
        <f t="shared" si="20"/>
        <v>0</v>
      </c>
      <c r="CA39" s="105"/>
      <c r="CB39" s="56"/>
      <c r="CC39" s="13"/>
      <c r="CD39" s="105"/>
      <c r="CE39" s="105"/>
      <c r="CF39" s="105"/>
      <c r="CG39" s="105">
        <v>15853</v>
      </c>
      <c r="CH39" s="105"/>
      <c r="CI39" s="105"/>
      <c r="CJ39" s="105"/>
      <c r="CK39" s="105"/>
      <c r="CL39" s="56">
        <f t="shared" si="21"/>
        <v>15853</v>
      </c>
      <c r="CM39" s="40">
        <f t="shared" si="22"/>
        <v>18054</v>
      </c>
      <c r="CN39" s="9" t="s">
        <v>37</v>
      </c>
      <c r="CO39" s="9">
        <v>288.26</v>
      </c>
      <c r="CP39" s="117">
        <f t="shared" si="23"/>
        <v>15853</v>
      </c>
      <c r="CQ39" s="40">
        <f t="shared" si="24"/>
        <v>2201</v>
      </c>
    </row>
    <row r="40" spans="1:95" ht="21" customHeight="1">
      <c r="A40" s="26">
        <v>32</v>
      </c>
      <c r="B40" s="9" t="s">
        <v>38</v>
      </c>
      <c r="C40" s="11">
        <v>138.67</v>
      </c>
      <c r="D40" s="11"/>
      <c r="E40" s="11"/>
      <c r="F40" s="11"/>
      <c r="G40" s="11"/>
      <c r="H40" s="11"/>
      <c r="I40" s="11"/>
      <c r="J40" s="14"/>
      <c r="K40" s="46">
        <f t="shared" si="13"/>
        <v>0</v>
      </c>
      <c r="L40" s="13"/>
      <c r="M40" s="13"/>
      <c r="N40" s="13"/>
      <c r="O40" s="46">
        <f t="shared" si="14"/>
        <v>0</v>
      </c>
      <c r="P40" s="13"/>
      <c r="Q40" s="13"/>
      <c r="R40" s="13"/>
      <c r="S40" s="13"/>
      <c r="T40" s="13"/>
      <c r="U40" s="13"/>
      <c r="V40" s="13"/>
      <c r="W40" s="13"/>
      <c r="X40" s="46">
        <f t="shared" si="11"/>
        <v>0</v>
      </c>
      <c r="Y40" s="13"/>
      <c r="Z40" s="13"/>
      <c r="AA40" s="13"/>
      <c r="AB40" s="13"/>
      <c r="AC40" s="13"/>
      <c r="AD40" s="13"/>
      <c r="AE40" s="13"/>
      <c r="AF40" s="13"/>
      <c r="AG40" s="13"/>
      <c r="AH40" s="46">
        <f t="shared" si="15"/>
        <v>0</v>
      </c>
      <c r="AI40" s="13"/>
      <c r="AJ40" s="13"/>
      <c r="AK40" s="13"/>
      <c r="AL40" s="13"/>
      <c r="AM40" s="46">
        <f t="shared" si="16"/>
        <v>0</v>
      </c>
      <c r="AN40" s="41"/>
      <c r="AO40" s="41"/>
      <c r="AP40" s="41"/>
      <c r="AQ40" s="41"/>
      <c r="AR40" s="41"/>
      <c r="AS40" s="53">
        <f>SUM(AN40:AR40)</f>
        <v>0</v>
      </c>
      <c r="AT40" s="13"/>
      <c r="AU40" s="13"/>
      <c r="AV40" s="13"/>
      <c r="AW40" s="13"/>
      <c r="AX40" s="13"/>
      <c r="AY40" s="46">
        <f t="shared" si="17"/>
        <v>0</v>
      </c>
      <c r="AZ40" s="13"/>
      <c r="BA40" s="13"/>
      <c r="BB40" s="46">
        <f t="shared" si="18"/>
        <v>0</v>
      </c>
      <c r="BC40" s="13"/>
      <c r="BD40" s="13"/>
      <c r="BE40" s="13"/>
      <c r="BF40" s="13"/>
      <c r="BG40" s="13"/>
      <c r="BH40" s="13"/>
      <c r="BI40" s="13"/>
      <c r="BJ40" s="46">
        <f t="shared" si="19"/>
        <v>0</v>
      </c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46">
        <f t="shared" si="20"/>
        <v>0</v>
      </c>
      <c r="CA40" s="105"/>
      <c r="CB40" s="56"/>
      <c r="CC40" s="13"/>
      <c r="CD40" s="105"/>
      <c r="CE40" s="105"/>
      <c r="CF40" s="105"/>
      <c r="CG40" s="105"/>
      <c r="CH40" s="105"/>
      <c r="CI40" s="105"/>
      <c r="CJ40" s="105"/>
      <c r="CK40" s="105"/>
      <c r="CL40" s="56">
        <f t="shared" si="21"/>
        <v>0</v>
      </c>
      <c r="CM40" s="40">
        <f t="shared" si="22"/>
        <v>0</v>
      </c>
      <c r="CN40" s="9" t="s">
        <v>38</v>
      </c>
      <c r="CO40" s="9">
        <v>138.67</v>
      </c>
      <c r="CP40" s="117">
        <f t="shared" si="23"/>
        <v>0</v>
      </c>
      <c r="CQ40" s="40">
        <f t="shared" si="24"/>
        <v>0</v>
      </c>
    </row>
    <row r="41" spans="1:95" ht="21" customHeight="1">
      <c r="A41" s="26">
        <v>33</v>
      </c>
      <c r="B41" s="33" t="s">
        <v>39</v>
      </c>
      <c r="C41" s="34">
        <v>484.2</v>
      </c>
      <c r="D41" s="34"/>
      <c r="E41" s="34"/>
      <c r="F41" s="34"/>
      <c r="G41" s="34"/>
      <c r="H41" s="34">
        <v>1710</v>
      </c>
      <c r="I41" s="34"/>
      <c r="J41" s="35"/>
      <c r="K41" s="46">
        <f>SUM(D41:J41)</f>
        <v>1710</v>
      </c>
      <c r="L41" s="36"/>
      <c r="M41" s="36"/>
      <c r="N41" s="36"/>
      <c r="O41" s="46">
        <f t="shared" si="14"/>
        <v>0</v>
      </c>
      <c r="P41" s="36"/>
      <c r="Q41" s="36"/>
      <c r="R41" s="36"/>
      <c r="S41" s="36">
        <v>4495.3</v>
      </c>
      <c r="T41" s="36"/>
      <c r="U41" s="36"/>
      <c r="V41" s="36"/>
      <c r="W41" s="36"/>
      <c r="X41" s="46">
        <f t="shared" si="11"/>
        <v>4495.3</v>
      </c>
      <c r="Y41" s="36"/>
      <c r="Z41" s="36"/>
      <c r="AA41" s="36"/>
      <c r="AB41" s="36"/>
      <c r="AC41" s="36"/>
      <c r="AD41" s="36"/>
      <c r="AE41" s="36"/>
      <c r="AF41" s="36"/>
      <c r="AG41" s="36"/>
      <c r="AH41" s="46">
        <f t="shared" si="15"/>
        <v>0</v>
      </c>
      <c r="AI41" s="36"/>
      <c r="AJ41" s="36"/>
      <c r="AK41" s="36"/>
      <c r="AL41" s="36"/>
      <c r="AM41" s="46">
        <f t="shared" si="16"/>
        <v>0</v>
      </c>
      <c r="AN41" s="41"/>
      <c r="AO41" s="41"/>
      <c r="AP41" s="41"/>
      <c r="AQ41" s="41"/>
      <c r="AR41" s="41"/>
      <c r="AS41" s="52"/>
      <c r="AT41" s="36"/>
      <c r="AU41" s="36"/>
      <c r="AV41" s="36">
        <v>4741</v>
      </c>
      <c r="AW41" s="36"/>
      <c r="AX41" s="36"/>
      <c r="AY41" s="46">
        <f t="shared" si="17"/>
        <v>4741</v>
      </c>
      <c r="AZ41" s="36"/>
      <c r="BA41" s="36"/>
      <c r="BB41" s="46">
        <f t="shared" si="18"/>
        <v>0</v>
      </c>
      <c r="BC41" s="36"/>
      <c r="BD41" s="36"/>
      <c r="BE41" s="36"/>
      <c r="BF41" s="36"/>
      <c r="BG41" s="36"/>
      <c r="BH41" s="36"/>
      <c r="BI41" s="36">
        <v>37391</v>
      </c>
      <c r="BJ41" s="46">
        <f t="shared" si="19"/>
        <v>37391</v>
      </c>
      <c r="BK41" s="36"/>
      <c r="BL41" s="36"/>
      <c r="BM41" s="36"/>
      <c r="BN41" s="36"/>
      <c r="BO41" s="36"/>
      <c r="BP41" s="36"/>
      <c r="BQ41" s="36"/>
      <c r="BR41" s="36"/>
      <c r="BS41" s="36"/>
      <c r="BT41" s="36">
        <v>4759.6</v>
      </c>
      <c r="BU41" s="36"/>
      <c r="BV41" s="36"/>
      <c r="BW41" s="36"/>
      <c r="BX41" s="36"/>
      <c r="BY41" s="36"/>
      <c r="BZ41" s="46">
        <f t="shared" si="20"/>
        <v>4759.6</v>
      </c>
      <c r="CA41" s="106"/>
      <c r="CB41" s="56"/>
      <c r="CC41" s="36"/>
      <c r="CD41" s="106"/>
      <c r="CE41" s="106"/>
      <c r="CF41" s="106"/>
      <c r="CG41" s="106">
        <v>15221</v>
      </c>
      <c r="CH41" s="106"/>
      <c r="CI41" s="106"/>
      <c r="CJ41" s="106"/>
      <c r="CK41" s="106"/>
      <c r="CL41" s="56">
        <f t="shared" si="21"/>
        <v>15221</v>
      </c>
      <c r="CM41" s="40">
        <f t="shared" si="22"/>
        <v>68317.9</v>
      </c>
      <c r="CN41" s="33" t="s">
        <v>39</v>
      </c>
      <c r="CO41" s="33">
        <v>484.2</v>
      </c>
      <c r="CP41" s="117">
        <f t="shared" si="23"/>
        <v>62112.6</v>
      </c>
      <c r="CQ41" s="40">
        <f t="shared" si="24"/>
        <v>6205.3</v>
      </c>
    </row>
    <row r="42" spans="1:95" ht="21" customHeight="1">
      <c r="A42" s="26">
        <v>34</v>
      </c>
      <c r="B42" s="33" t="s">
        <v>40</v>
      </c>
      <c r="C42" s="37">
        <v>647.2</v>
      </c>
      <c r="D42" s="37"/>
      <c r="E42" s="37"/>
      <c r="F42" s="37"/>
      <c r="G42" s="37"/>
      <c r="H42" s="37"/>
      <c r="I42" s="37"/>
      <c r="J42" s="35"/>
      <c r="K42" s="46">
        <f t="shared" si="13"/>
        <v>0</v>
      </c>
      <c r="L42" s="36"/>
      <c r="M42" s="36"/>
      <c r="N42" s="36"/>
      <c r="O42" s="46">
        <f t="shared" si="14"/>
        <v>0</v>
      </c>
      <c r="P42" s="36"/>
      <c r="Q42" s="36"/>
      <c r="R42" s="36"/>
      <c r="S42" s="36"/>
      <c r="T42" s="36"/>
      <c r="U42" s="36"/>
      <c r="V42" s="36"/>
      <c r="W42" s="36"/>
      <c r="X42" s="46">
        <f t="shared" si="11"/>
        <v>0</v>
      </c>
      <c r="Y42" s="36"/>
      <c r="Z42" s="36"/>
      <c r="AA42" s="36"/>
      <c r="AB42" s="36"/>
      <c r="AC42" s="36"/>
      <c r="AD42" s="36"/>
      <c r="AE42" s="36"/>
      <c r="AF42" s="36"/>
      <c r="AG42" s="36"/>
      <c r="AH42" s="46">
        <f t="shared" si="15"/>
        <v>0</v>
      </c>
      <c r="AI42" s="36"/>
      <c r="AJ42" s="36"/>
      <c r="AK42" s="36"/>
      <c r="AL42" s="36"/>
      <c r="AM42" s="46">
        <f t="shared" si="16"/>
        <v>0</v>
      </c>
      <c r="AN42" s="41"/>
      <c r="AO42" s="41"/>
      <c r="AP42" s="41"/>
      <c r="AQ42" s="41"/>
      <c r="AR42" s="41"/>
      <c r="AS42" s="52"/>
      <c r="AT42" s="36"/>
      <c r="AU42" s="36"/>
      <c r="AV42" s="36"/>
      <c r="AW42" s="36"/>
      <c r="AX42" s="36"/>
      <c r="AY42" s="46">
        <f t="shared" si="17"/>
        <v>0</v>
      </c>
      <c r="AZ42" s="36"/>
      <c r="BA42" s="36"/>
      <c r="BB42" s="46">
        <f t="shared" si="18"/>
        <v>0</v>
      </c>
      <c r="BC42" s="36"/>
      <c r="BD42" s="36"/>
      <c r="BE42" s="36"/>
      <c r="BF42" s="36"/>
      <c r="BG42" s="36"/>
      <c r="BH42" s="36"/>
      <c r="BI42" s="36"/>
      <c r="BJ42" s="46">
        <f t="shared" si="19"/>
        <v>0</v>
      </c>
      <c r="BK42" s="36"/>
      <c r="BL42" s="36"/>
      <c r="BM42" s="36">
        <v>1280</v>
      </c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46">
        <f t="shared" si="20"/>
        <v>1280</v>
      </c>
      <c r="CA42" s="106"/>
      <c r="CB42" s="56"/>
      <c r="CC42" s="36"/>
      <c r="CD42" s="106"/>
      <c r="CE42" s="106"/>
      <c r="CF42" s="106"/>
      <c r="CG42" s="106"/>
      <c r="CH42" s="106"/>
      <c r="CI42" s="106"/>
      <c r="CJ42" s="106"/>
      <c r="CK42" s="106"/>
      <c r="CL42" s="56">
        <f t="shared" si="21"/>
        <v>0</v>
      </c>
      <c r="CM42" s="40">
        <f t="shared" si="22"/>
        <v>1280</v>
      </c>
      <c r="CN42" s="33" t="s">
        <v>40</v>
      </c>
      <c r="CO42" s="59">
        <v>647.2</v>
      </c>
      <c r="CP42" s="117">
        <f t="shared" si="23"/>
        <v>1280</v>
      </c>
      <c r="CQ42" s="40">
        <f t="shared" si="24"/>
        <v>0</v>
      </c>
    </row>
    <row r="43" spans="1:95" ht="21" customHeight="1">
      <c r="A43" s="26">
        <v>35</v>
      </c>
      <c r="B43" s="10" t="s">
        <v>41</v>
      </c>
      <c r="C43" s="11">
        <v>711.53</v>
      </c>
      <c r="D43" s="11">
        <v>2798</v>
      </c>
      <c r="E43" s="11"/>
      <c r="F43" s="11"/>
      <c r="G43" s="11"/>
      <c r="H43" s="11"/>
      <c r="I43" s="11"/>
      <c r="J43" s="14"/>
      <c r="K43" s="46">
        <f>SUM(D43:J43)</f>
        <v>2798</v>
      </c>
      <c r="L43" s="13"/>
      <c r="M43" s="13"/>
      <c r="N43" s="13"/>
      <c r="O43" s="46">
        <f t="shared" si="14"/>
        <v>0</v>
      </c>
      <c r="P43" s="13"/>
      <c r="Q43" s="13"/>
      <c r="R43" s="13"/>
      <c r="S43" s="13"/>
      <c r="T43" s="13"/>
      <c r="U43" s="13"/>
      <c r="V43" s="13"/>
      <c r="W43" s="13"/>
      <c r="X43" s="46">
        <f t="shared" si="11"/>
        <v>0</v>
      </c>
      <c r="Y43" s="13"/>
      <c r="Z43" s="13"/>
      <c r="AA43" s="13"/>
      <c r="AB43" s="13"/>
      <c r="AC43" s="13"/>
      <c r="AD43" s="13"/>
      <c r="AE43" s="13"/>
      <c r="AF43" s="13"/>
      <c r="AG43" s="13"/>
      <c r="AH43" s="46">
        <f t="shared" si="15"/>
        <v>0</v>
      </c>
      <c r="AI43" s="13"/>
      <c r="AJ43" s="13"/>
      <c r="AK43" s="13"/>
      <c r="AL43" s="13"/>
      <c r="AM43" s="46">
        <f t="shared" si="16"/>
        <v>0</v>
      </c>
      <c r="AN43" s="41"/>
      <c r="AO43" s="41"/>
      <c r="AP43" s="41"/>
      <c r="AQ43" s="41"/>
      <c r="AR43" s="41"/>
      <c r="AS43" s="52"/>
      <c r="AT43" s="13"/>
      <c r="AU43" s="13"/>
      <c r="AV43" s="13"/>
      <c r="AW43" s="13"/>
      <c r="AX43" s="13"/>
      <c r="AY43" s="46">
        <f t="shared" si="17"/>
        <v>0</v>
      </c>
      <c r="AZ43" s="13"/>
      <c r="BA43" s="13"/>
      <c r="BB43" s="46">
        <f t="shared" si="18"/>
        <v>0</v>
      </c>
      <c r="BC43" s="13"/>
      <c r="BD43" s="13"/>
      <c r="BE43" s="13"/>
      <c r="BF43" s="13"/>
      <c r="BG43" s="13"/>
      <c r="BH43" s="13"/>
      <c r="BI43" s="13"/>
      <c r="BJ43" s="46">
        <f t="shared" si="19"/>
        <v>0</v>
      </c>
      <c r="BK43" s="13">
        <v>1604.4</v>
      </c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46">
        <f t="shared" si="20"/>
        <v>1604.4</v>
      </c>
      <c r="CA43" s="105"/>
      <c r="CB43" s="56"/>
      <c r="CC43" s="13"/>
      <c r="CD43" s="105"/>
      <c r="CE43" s="105"/>
      <c r="CF43" s="105">
        <v>23928</v>
      </c>
      <c r="CG43" s="105"/>
      <c r="CH43" s="105"/>
      <c r="CI43" s="105"/>
      <c r="CJ43" s="105"/>
      <c r="CK43" s="105"/>
      <c r="CL43" s="56">
        <f t="shared" si="21"/>
        <v>23928</v>
      </c>
      <c r="CM43" s="40">
        <f t="shared" si="22"/>
        <v>28330.4</v>
      </c>
      <c r="CN43" s="10" t="s">
        <v>41</v>
      </c>
      <c r="CO43" s="9">
        <v>711.53</v>
      </c>
      <c r="CP43" s="117">
        <f t="shared" si="23"/>
        <v>25532.4</v>
      </c>
      <c r="CQ43" s="40">
        <f t="shared" si="24"/>
        <v>2798</v>
      </c>
    </row>
    <row r="44" spans="1:95" ht="21" customHeight="1">
      <c r="A44" s="26">
        <v>36</v>
      </c>
      <c r="B44" s="33" t="s">
        <v>42</v>
      </c>
      <c r="C44" s="33">
        <v>742.1</v>
      </c>
      <c r="D44" s="33"/>
      <c r="E44" s="33"/>
      <c r="F44" s="33"/>
      <c r="G44" s="33"/>
      <c r="H44" s="33"/>
      <c r="I44" s="33">
        <v>2118</v>
      </c>
      <c r="J44" s="35"/>
      <c r="K44" s="46">
        <f>SUM(D44:J44)</f>
        <v>2118</v>
      </c>
      <c r="L44" s="36"/>
      <c r="M44" s="36"/>
      <c r="N44" s="36"/>
      <c r="O44" s="46">
        <f t="shared" si="14"/>
        <v>0</v>
      </c>
      <c r="P44" s="36">
        <v>1234</v>
      </c>
      <c r="Q44" s="36"/>
      <c r="R44" s="36"/>
      <c r="S44" s="36"/>
      <c r="T44" s="36"/>
      <c r="U44" s="36"/>
      <c r="V44" s="36"/>
      <c r="W44" s="36"/>
      <c r="X44" s="46">
        <f t="shared" si="11"/>
        <v>1234</v>
      </c>
      <c r="Y44" s="36"/>
      <c r="Z44" s="36"/>
      <c r="AA44" s="36"/>
      <c r="AB44" s="36"/>
      <c r="AC44" s="36"/>
      <c r="AD44" s="36"/>
      <c r="AE44" s="36"/>
      <c r="AF44" s="36"/>
      <c r="AG44" s="36"/>
      <c r="AH44" s="46">
        <f t="shared" si="15"/>
        <v>0</v>
      </c>
      <c r="AI44" s="36"/>
      <c r="AJ44" s="36"/>
      <c r="AK44" s="36"/>
      <c r="AL44" s="36"/>
      <c r="AM44" s="46">
        <f t="shared" si="16"/>
        <v>0</v>
      </c>
      <c r="AN44" s="41"/>
      <c r="AO44" s="41"/>
      <c r="AP44" s="41"/>
      <c r="AQ44" s="41"/>
      <c r="AR44" s="41"/>
      <c r="AS44" s="52"/>
      <c r="AT44" s="36"/>
      <c r="AU44" s="36"/>
      <c r="AV44" s="36"/>
      <c r="AW44" s="36"/>
      <c r="AX44" s="36"/>
      <c r="AY44" s="46">
        <f t="shared" si="17"/>
        <v>0</v>
      </c>
      <c r="AZ44" s="36"/>
      <c r="BA44" s="36"/>
      <c r="BB44" s="46">
        <f t="shared" si="18"/>
        <v>0</v>
      </c>
      <c r="BC44" s="36"/>
      <c r="BD44" s="36"/>
      <c r="BE44" s="36"/>
      <c r="BF44" s="36">
        <v>4433.4</v>
      </c>
      <c r="BG44" s="36"/>
      <c r="BH44" s="36"/>
      <c r="BI44" s="36"/>
      <c r="BJ44" s="46">
        <f t="shared" si="19"/>
        <v>4433.4</v>
      </c>
      <c r="BK44" s="36"/>
      <c r="BL44" s="36"/>
      <c r="BM44" s="36"/>
      <c r="BN44" s="36">
        <v>1340.3</v>
      </c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46">
        <f t="shared" si="20"/>
        <v>1340.3</v>
      </c>
      <c r="CA44" s="106"/>
      <c r="CB44" s="56"/>
      <c r="CC44" s="36"/>
      <c r="CD44" s="106"/>
      <c r="CE44" s="106"/>
      <c r="CF44" s="106"/>
      <c r="CG44" s="106">
        <v>32243</v>
      </c>
      <c r="CH44" s="106"/>
      <c r="CI44" s="106">
        <v>84643</v>
      </c>
      <c r="CJ44" s="106"/>
      <c r="CK44" s="106"/>
      <c r="CL44" s="56">
        <f t="shared" si="21"/>
        <v>116886</v>
      </c>
      <c r="CM44" s="40">
        <f t="shared" si="22"/>
        <v>126011.7</v>
      </c>
      <c r="CN44" s="33" t="s">
        <v>42</v>
      </c>
      <c r="CO44" s="59">
        <v>742.1</v>
      </c>
      <c r="CP44" s="117">
        <f t="shared" si="23"/>
        <v>122659.7</v>
      </c>
      <c r="CQ44" s="40">
        <f t="shared" si="24"/>
        <v>3352</v>
      </c>
    </row>
    <row r="45" spans="1:95" ht="21" customHeight="1">
      <c r="A45" s="26">
        <v>37</v>
      </c>
      <c r="B45" s="33" t="s">
        <v>88</v>
      </c>
      <c r="C45" s="33"/>
      <c r="D45" s="33"/>
      <c r="E45" s="33"/>
      <c r="F45" s="33"/>
      <c r="G45" s="33"/>
      <c r="H45" s="33"/>
      <c r="I45" s="33"/>
      <c r="J45" s="35"/>
      <c r="K45" s="46">
        <f t="shared" si="13"/>
        <v>0</v>
      </c>
      <c r="L45" s="36"/>
      <c r="M45" s="36"/>
      <c r="N45" s="36"/>
      <c r="O45" s="46"/>
      <c r="P45" s="36"/>
      <c r="Q45" s="36"/>
      <c r="R45" s="36">
        <v>53307</v>
      </c>
      <c r="S45" s="36"/>
      <c r="T45" s="36">
        <v>1491.4</v>
      </c>
      <c r="U45" s="36"/>
      <c r="V45" s="36"/>
      <c r="W45" s="36"/>
      <c r="X45" s="46">
        <f>SUM(P45:W45)</f>
        <v>54798.4</v>
      </c>
      <c r="Y45" s="36"/>
      <c r="Z45" s="36"/>
      <c r="AA45" s="36"/>
      <c r="AB45" s="36"/>
      <c r="AC45" s="36"/>
      <c r="AD45" s="36"/>
      <c r="AE45" s="36"/>
      <c r="AF45" s="36"/>
      <c r="AG45" s="36"/>
      <c r="AH45" s="46"/>
      <c r="AI45" s="36"/>
      <c r="AJ45" s="36"/>
      <c r="AK45" s="36"/>
      <c r="AL45" s="36"/>
      <c r="AM45" s="46"/>
      <c r="AN45" s="41"/>
      <c r="AO45" s="41"/>
      <c r="AP45" s="41"/>
      <c r="AQ45" s="41"/>
      <c r="AR45" s="41"/>
      <c r="AS45" s="52"/>
      <c r="AT45" s="36"/>
      <c r="AU45" s="36"/>
      <c r="AV45" s="36"/>
      <c r="AW45" s="36"/>
      <c r="AX45" s="36"/>
      <c r="AY45" s="46">
        <f t="shared" si="17"/>
        <v>0</v>
      </c>
      <c r="AZ45" s="36"/>
      <c r="BA45" s="36"/>
      <c r="BB45" s="46"/>
      <c r="BC45" s="36"/>
      <c r="BD45" s="36"/>
      <c r="BE45" s="36"/>
      <c r="BF45" s="36"/>
      <c r="BG45" s="36"/>
      <c r="BH45" s="36"/>
      <c r="BI45" s="36"/>
      <c r="BJ45" s="4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>
        <v>1390.7</v>
      </c>
      <c r="BX45" s="36"/>
      <c r="BY45" s="36"/>
      <c r="BZ45" s="46">
        <f t="shared" si="20"/>
        <v>1390.7</v>
      </c>
      <c r="CA45" s="106"/>
      <c r="CB45" s="56"/>
      <c r="CC45" s="36"/>
      <c r="CD45" s="106"/>
      <c r="CE45" s="106"/>
      <c r="CF45" s="106"/>
      <c r="CG45" s="106">
        <v>32243</v>
      </c>
      <c r="CH45" s="106"/>
      <c r="CI45" s="106">
        <v>84864</v>
      </c>
      <c r="CJ45" s="106"/>
      <c r="CK45" s="106"/>
      <c r="CL45" s="56">
        <f t="shared" si="21"/>
        <v>117107</v>
      </c>
      <c r="CM45" s="40">
        <f t="shared" si="22"/>
        <v>173296.1</v>
      </c>
      <c r="CN45" s="33" t="s">
        <v>88</v>
      </c>
      <c r="CO45" s="59"/>
      <c r="CP45" s="117">
        <f t="shared" si="23"/>
        <v>118497.7</v>
      </c>
      <c r="CQ45" s="40">
        <f t="shared" si="24"/>
        <v>54798.4</v>
      </c>
    </row>
    <row r="46" spans="1:95" ht="21" customHeight="1">
      <c r="A46" s="26">
        <v>38</v>
      </c>
      <c r="B46" s="9" t="s">
        <v>43</v>
      </c>
      <c r="C46" s="11">
        <v>751.4</v>
      </c>
      <c r="D46" s="11"/>
      <c r="E46" s="11"/>
      <c r="F46" s="11"/>
      <c r="G46" s="11"/>
      <c r="H46" s="11"/>
      <c r="I46" s="11"/>
      <c r="J46" s="14"/>
      <c r="K46" s="46">
        <f t="shared" si="13"/>
        <v>0</v>
      </c>
      <c r="L46" s="13"/>
      <c r="M46" s="13"/>
      <c r="N46" s="13"/>
      <c r="O46" s="46">
        <f aca="true" t="shared" si="25" ref="O46:O61">SUM(L46:N46)</f>
        <v>0</v>
      </c>
      <c r="P46" s="13"/>
      <c r="Q46" s="13"/>
      <c r="R46" s="13"/>
      <c r="S46" s="13"/>
      <c r="T46" s="13"/>
      <c r="U46" s="13"/>
      <c r="V46" s="13"/>
      <c r="W46" s="13"/>
      <c r="X46" s="46">
        <f t="shared" si="11"/>
        <v>0</v>
      </c>
      <c r="Y46" s="13"/>
      <c r="Z46" s="13"/>
      <c r="AA46" s="13">
        <v>1516.9</v>
      </c>
      <c r="AB46" s="13"/>
      <c r="AC46" s="13"/>
      <c r="AD46" s="13"/>
      <c r="AE46" s="13"/>
      <c r="AF46" s="13"/>
      <c r="AG46" s="13"/>
      <c r="AH46" s="46">
        <f aca="true" t="shared" si="26" ref="AH46:AH61">SUM(Y46:AG46)</f>
        <v>1516.9</v>
      </c>
      <c r="AI46" s="13"/>
      <c r="AJ46" s="13"/>
      <c r="AK46" s="13"/>
      <c r="AL46" s="13"/>
      <c r="AM46" s="46">
        <f aca="true" t="shared" si="27" ref="AM46:AM61">SUM(AI46:AL46)</f>
        <v>0</v>
      </c>
      <c r="AN46" s="41"/>
      <c r="AO46" s="41"/>
      <c r="AP46" s="41"/>
      <c r="AQ46" s="41"/>
      <c r="AR46" s="41"/>
      <c r="AS46" s="52"/>
      <c r="AT46" s="13"/>
      <c r="AU46" s="13"/>
      <c r="AV46" s="13"/>
      <c r="AW46" s="13"/>
      <c r="AX46" s="13"/>
      <c r="AY46" s="46">
        <f t="shared" si="17"/>
        <v>0</v>
      </c>
      <c r="AZ46" s="13"/>
      <c r="BA46" s="13"/>
      <c r="BB46" s="46">
        <f aca="true" t="shared" si="28" ref="BB46:BB64">SUM(AZ46:AZ46)</f>
        <v>0</v>
      </c>
      <c r="BC46" s="13"/>
      <c r="BD46" s="13"/>
      <c r="BE46" s="13"/>
      <c r="BF46" s="13"/>
      <c r="BG46" s="13"/>
      <c r="BH46" s="13"/>
      <c r="BI46" s="13"/>
      <c r="BJ46" s="46">
        <f aca="true" t="shared" si="29" ref="BJ46:BJ61">SUM(BC46:BI46)</f>
        <v>0</v>
      </c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46">
        <f t="shared" si="20"/>
        <v>0</v>
      </c>
      <c r="CA46" s="105"/>
      <c r="CB46" s="56"/>
      <c r="CC46" s="13"/>
      <c r="CD46" s="105"/>
      <c r="CE46" s="105"/>
      <c r="CF46" s="105"/>
      <c r="CG46" s="105"/>
      <c r="CH46" s="105"/>
      <c r="CI46" s="105"/>
      <c r="CJ46" s="105"/>
      <c r="CK46" s="105"/>
      <c r="CL46" s="56">
        <f t="shared" si="21"/>
        <v>0</v>
      </c>
      <c r="CM46" s="40">
        <f t="shared" si="22"/>
        <v>1516.9</v>
      </c>
      <c r="CN46" s="9" t="s">
        <v>43</v>
      </c>
      <c r="CO46" s="9">
        <v>751.4</v>
      </c>
      <c r="CP46" s="117">
        <f t="shared" si="23"/>
        <v>0</v>
      </c>
      <c r="CQ46" s="40">
        <f t="shared" si="24"/>
        <v>1516.9</v>
      </c>
    </row>
    <row r="47" spans="1:95" ht="21" customHeight="1">
      <c r="A47" s="26">
        <v>39</v>
      </c>
      <c r="B47" s="9" t="s">
        <v>44</v>
      </c>
      <c r="C47" s="11">
        <v>744.11</v>
      </c>
      <c r="D47" s="11"/>
      <c r="E47" s="11"/>
      <c r="F47" s="11">
        <v>1342</v>
      </c>
      <c r="G47" s="11"/>
      <c r="H47" s="11"/>
      <c r="I47" s="11"/>
      <c r="J47" s="14"/>
      <c r="K47" s="46">
        <f>SUM(D47:J47)</f>
        <v>1342</v>
      </c>
      <c r="L47" s="13"/>
      <c r="M47" s="13"/>
      <c r="N47" s="13"/>
      <c r="O47" s="46">
        <f t="shared" si="25"/>
        <v>0</v>
      </c>
      <c r="P47" s="13"/>
      <c r="Q47" s="13"/>
      <c r="R47" s="13"/>
      <c r="S47" s="13"/>
      <c r="T47" s="13"/>
      <c r="U47" s="13"/>
      <c r="V47" s="13"/>
      <c r="W47" s="13"/>
      <c r="X47" s="46">
        <f t="shared" si="11"/>
        <v>0</v>
      </c>
      <c r="Y47" s="13"/>
      <c r="Z47" s="13"/>
      <c r="AA47" s="13"/>
      <c r="AB47" s="13"/>
      <c r="AC47" s="13"/>
      <c r="AD47" s="13"/>
      <c r="AE47" s="13"/>
      <c r="AF47" s="13"/>
      <c r="AG47" s="13"/>
      <c r="AH47" s="46">
        <f t="shared" si="26"/>
        <v>0</v>
      </c>
      <c r="AI47" s="13"/>
      <c r="AJ47" s="13"/>
      <c r="AK47" s="13"/>
      <c r="AL47" s="13"/>
      <c r="AM47" s="46">
        <f t="shared" si="27"/>
        <v>0</v>
      </c>
      <c r="AN47" s="41"/>
      <c r="AO47" s="41"/>
      <c r="AP47" s="41"/>
      <c r="AQ47" s="41"/>
      <c r="AR47" s="41"/>
      <c r="AS47" s="52"/>
      <c r="AT47" s="13"/>
      <c r="AU47" s="13"/>
      <c r="AV47" s="13"/>
      <c r="AW47" s="13"/>
      <c r="AX47" s="13"/>
      <c r="AY47" s="46">
        <f t="shared" si="17"/>
        <v>0</v>
      </c>
      <c r="AZ47" s="13"/>
      <c r="BA47" s="13"/>
      <c r="BB47" s="46">
        <f t="shared" si="28"/>
        <v>0</v>
      </c>
      <c r="BC47" s="13"/>
      <c r="BD47" s="13"/>
      <c r="BE47" s="13"/>
      <c r="BF47" s="13"/>
      <c r="BG47" s="13"/>
      <c r="BH47" s="13">
        <v>3278.1</v>
      </c>
      <c r="BI47" s="13"/>
      <c r="BJ47" s="46">
        <f t="shared" si="29"/>
        <v>3278.1</v>
      </c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46">
        <f t="shared" si="20"/>
        <v>0</v>
      </c>
      <c r="CA47" s="105"/>
      <c r="CB47" s="56"/>
      <c r="CC47" s="13"/>
      <c r="CD47" s="105"/>
      <c r="CE47" s="105"/>
      <c r="CF47" s="105"/>
      <c r="CG47" s="105"/>
      <c r="CH47" s="105"/>
      <c r="CI47" s="105"/>
      <c r="CJ47" s="105"/>
      <c r="CK47" s="105"/>
      <c r="CL47" s="56">
        <f t="shared" si="21"/>
        <v>0</v>
      </c>
      <c r="CM47" s="40">
        <f t="shared" si="22"/>
        <v>4620.1</v>
      </c>
      <c r="CN47" s="9" t="s">
        <v>44</v>
      </c>
      <c r="CO47" s="9">
        <v>744.11</v>
      </c>
      <c r="CP47" s="117">
        <f t="shared" si="23"/>
        <v>3278.1</v>
      </c>
      <c r="CQ47" s="40">
        <f t="shared" si="24"/>
        <v>1342</v>
      </c>
    </row>
    <row r="48" spans="1:95" ht="21" customHeight="1">
      <c r="A48" s="26">
        <v>40</v>
      </c>
      <c r="B48" s="9" t="s">
        <v>45</v>
      </c>
      <c r="C48" s="11">
        <v>569.7</v>
      </c>
      <c r="D48" s="11"/>
      <c r="E48" s="11"/>
      <c r="F48" s="11"/>
      <c r="G48" s="11"/>
      <c r="H48" s="11"/>
      <c r="I48" s="11"/>
      <c r="J48" s="14"/>
      <c r="K48" s="46">
        <f t="shared" si="13"/>
        <v>0</v>
      </c>
      <c r="L48" s="13"/>
      <c r="M48" s="13"/>
      <c r="N48" s="13">
        <v>2030</v>
      </c>
      <c r="O48" s="46">
        <f t="shared" si="25"/>
        <v>2030</v>
      </c>
      <c r="P48" s="13"/>
      <c r="Q48" s="13"/>
      <c r="R48" s="13"/>
      <c r="S48" s="13"/>
      <c r="T48" s="13"/>
      <c r="U48" s="13"/>
      <c r="V48" s="13"/>
      <c r="W48" s="13"/>
      <c r="X48" s="46">
        <f t="shared" si="11"/>
        <v>0</v>
      </c>
      <c r="Y48" s="13"/>
      <c r="Z48" s="13"/>
      <c r="AA48" s="13"/>
      <c r="AB48" s="13"/>
      <c r="AC48" s="13"/>
      <c r="AD48" s="13"/>
      <c r="AE48" s="13"/>
      <c r="AF48" s="13"/>
      <c r="AG48" s="13"/>
      <c r="AH48" s="46">
        <f t="shared" si="26"/>
        <v>0</v>
      </c>
      <c r="AI48" s="13"/>
      <c r="AJ48" s="13"/>
      <c r="AK48" s="13"/>
      <c r="AL48" s="13"/>
      <c r="AM48" s="46">
        <f t="shared" si="27"/>
        <v>0</v>
      </c>
      <c r="AN48" s="41"/>
      <c r="AO48" s="41"/>
      <c r="AP48" s="41"/>
      <c r="AQ48" s="41"/>
      <c r="AR48" s="41">
        <v>12521</v>
      </c>
      <c r="AS48" s="53">
        <f>SUM(AN48:AR48)</f>
        <v>12521</v>
      </c>
      <c r="AT48" s="13"/>
      <c r="AU48" s="13"/>
      <c r="AV48" s="13"/>
      <c r="AW48" s="13"/>
      <c r="AX48" s="13"/>
      <c r="AY48" s="46">
        <f t="shared" si="17"/>
        <v>0</v>
      </c>
      <c r="AZ48" s="13"/>
      <c r="BA48" s="13"/>
      <c r="BB48" s="46">
        <f t="shared" si="28"/>
        <v>0</v>
      </c>
      <c r="BC48" s="13"/>
      <c r="BD48" s="13"/>
      <c r="BE48" s="13"/>
      <c r="BF48" s="13"/>
      <c r="BG48" s="13"/>
      <c r="BH48" s="13"/>
      <c r="BI48" s="13"/>
      <c r="BJ48" s="46">
        <f t="shared" si="29"/>
        <v>0</v>
      </c>
      <c r="BK48" s="13"/>
      <c r="BL48" s="13"/>
      <c r="BM48" s="13"/>
      <c r="BN48" s="13"/>
      <c r="BO48" s="13"/>
      <c r="BP48" s="13"/>
      <c r="BQ48" s="13"/>
      <c r="BR48" s="13"/>
      <c r="BS48" s="13">
        <v>1230.8</v>
      </c>
      <c r="BT48" s="13"/>
      <c r="BU48" s="13"/>
      <c r="BV48" s="13"/>
      <c r="BW48" s="13"/>
      <c r="BX48" s="13"/>
      <c r="BY48" s="13"/>
      <c r="BZ48" s="46">
        <f t="shared" si="20"/>
        <v>1230.8</v>
      </c>
      <c r="CA48" s="105"/>
      <c r="CB48" s="56"/>
      <c r="CC48" s="13"/>
      <c r="CD48" s="105"/>
      <c r="CE48" s="105"/>
      <c r="CF48" s="105"/>
      <c r="CG48" s="105"/>
      <c r="CH48" s="105"/>
      <c r="CI48" s="105">
        <v>21723</v>
      </c>
      <c r="CJ48" s="105"/>
      <c r="CK48" s="105"/>
      <c r="CL48" s="56">
        <f t="shared" si="21"/>
        <v>21723</v>
      </c>
      <c r="CM48" s="40">
        <f t="shared" si="22"/>
        <v>37504.8</v>
      </c>
      <c r="CN48" s="9" t="s">
        <v>45</v>
      </c>
      <c r="CO48" s="9">
        <v>569.7</v>
      </c>
      <c r="CP48" s="117">
        <f t="shared" si="23"/>
        <v>22953.8</v>
      </c>
      <c r="CQ48" s="40">
        <f t="shared" si="24"/>
        <v>14551</v>
      </c>
    </row>
    <row r="49" spans="1:95" ht="21" customHeight="1">
      <c r="A49" s="26">
        <v>41</v>
      </c>
      <c r="B49" s="9" t="s">
        <v>46</v>
      </c>
      <c r="C49" s="11">
        <v>448.7</v>
      </c>
      <c r="D49" s="11"/>
      <c r="E49" s="11"/>
      <c r="F49" s="11"/>
      <c r="G49" s="11"/>
      <c r="H49" s="11"/>
      <c r="I49" s="11"/>
      <c r="J49" s="14"/>
      <c r="K49" s="46">
        <f t="shared" si="13"/>
        <v>0</v>
      </c>
      <c r="L49" s="13"/>
      <c r="M49" s="13"/>
      <c r="N49" s="13"/>
      <c r="O49" s="46">
        <f t="shared" si="25"/>
        <v>0</v>
      </c>
      <c r="P49" s="13"/>
      <c r="Q49" s="13"/>
      <c r="R49" s="13"/>
      <c r="S49" s="13"/>
      <c r="T49" s="13"/>
      <c r="U49" s="13"/>
      <c r="V49" s="13"/>
      <c r="W49" s="13"/>
      <c r="X49" s="46">
        <f t="shared" si="11"/>
        <v>0</v>
      </c>
      <c r="Y49" s="13"/>
      <c r="Z49" s="13"/>
      <c r="AA49" s="13"/>
      <c r="AB49" s="13"/>
      <c r="AC49" s="13"/>
      <c r="AD49" s="13"/>
      <c r="AE49" s="13"/>
      <c r="AF49" s="13"/>
      <c r="AG49" s="13"/>
      <c r="AH49" s="46">
        <f t="shared" si="26"/>
        <v>0</v>
      </c>
      <c r="AI49" s="13"/>
      <c r="AJ49" s="13"/>
      <c r="AK49" s="13"/>
      <c r="AL49" s="13"/>
      <c r="AM49" s="46">
        <f t="shared" si="27"/>
        <v>0</v>
      </c>
      <c r="AN49" s="41"/>
      <c r="AO49" s="41"/>
      <c r="AP49" s="41"/>
      <c r="AQ49" s="41"/>
      <c r="AR49" s="41"/>
      <c r="AS49" s="52"/>
      <c r="AT49" s="13"/>
      <c r="AU49" s="13"/>
      <c r="AV49" s="13"/>
      <c r="AW49" s="13"/>
      <c r="AX49" s="13"/>
      <c r="AY49" s="46">
        <f t="shared" si="17"/>
        <v>0</v>
      </c>
      <c r="AZ49" s="13"/>
      <c r="BA49" s="13"/>
      <c r="BB49" s="46">
        <f t="shared" si="28"/>
        <v>0</v>
      </c>
      <c r="BC49" s="13"/>
      <c r="BD49" s="13"/>
      <c r="BE49" s="13"/>
      <c r="BF49" s="13"/>
      <c r="BG49" s="13"/>
      <c r="BH49" s="13"/>
      <c r="BI49" s="13"/>
      <c r="BJ49" s="46">
        <f t="shared" si="29"/>
        <v>0</v>
      </c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46">
        <f t="shared" si="20"/>
        <v>0</v>
      </c>
      <c r="CA49" s="105"/>
      <c r="CB49" s="56"/>
      <c r="CC49" s="13"/>
      <c r="CD49" s="105"/>
      <c r="CE49" s="105"/>
      <c r="CF49" s="105"/>
      <c r="CG49" s="105"/>
      <c r="CH49" s="105"/>
      <c r="CI49" s="105"/>
      <c r="CJ49" s="105"/>
      <c r="CK49" s="105"/>
      <c r="CL49" s="56">
        <f t="shared" si="21"/>
        <v>0</v>
      </c>
      <c r="CM49" s="40">
        <f t="shared" si="22"/>
        <v>0</v>
      </c>
      <c r="CN49" s="9" t="s">
        <v>46</v>
      </c>
      <c r="CO49" s="9">
        <v>448.7</v>
      </c>
      <c r="CP49" s="117">
        <f t="shared" si="23"/>
        <v>0</v>
      </c>
      <c r="CQ49" s="40">
        <f t="shared" si="24"/>
        <v>0</v>
      </c>
    </row>
    <row r="50" spans="1:95" ht="21" customHeight="1">
      <c r="A50" s="26">
        <v>42</v>
      </c>
      <c r="B50" s="9" t="s">
        <v>47</v>
      </c>
      <c r="C50" s="11">
        <v>1082.01</v>
      </c>
      <c r="D50" s="11"/>
      <c r="E50" s="11"/>
      <c r="F50" s="11"/>
      <c r="G50" s="11"/>
      <c r="H50" s="11"/>
      <c r="I50" s="11"/>
      <c r="J50" s="14"/>
      <c r="K50" s="46">
        <f t="shared" si="13"/>
        <v>0</v>
      </c>
      <c r="L50" s="13"/>
      <c r="M50" s="13"/>
      <c r="N50" s="13"/>
      <c r="O50" s="46">
        <f t="shared" si="25"/>
        <v>0</v>
      </c>
      <c r="P50" s="13"/>
      <c r="Q50" s="13"/>
      <c r="R50" s="13"/>
      <c r="S50" s="13"/>
      <c r="T50" s="13"/>
      <c r="U50" s="13"/>
      <c r="V50" s="13"/>
      <c r="W50" s="13"/>
      <c r="X50" s="46">
        <f t="shared" si="11"/>
        <v>0</v>
      </c>
      <c r="Y50" s="13"/>
      <c r="Z50" s="13"/>
      <c r="AA50" s="13"/>
      <c r="AB50" s="13"/>
      <c r="AC50" s="13"/>
      <c r="AD50" s="13"/>
      <c r="AE50" s="13"/>
      <c r="AF50" s="13"/>
      <c r="AG50" s="13"/>
      <c r="AH50" s="46">
        <f t="shared" si="26"/>
        <v>0</v>
      </c>
      <c r="AI50" s="13"/>
      <c r="AJ50" s="13"/>
      <c r="AK50" s="13"/>
      <c r="AL50" s="13"/>
      <c r="AM50" s="46">
        <f t="shared" si="27"/>
        <v>0</v>
      </c>
      <c r="AN50" s="41"/>
      <c r="AO50" s="41"/>
      <c r="AP50" s="41"/>
      <c r="AQ50" s="41"/>
      <c r="AR50" s="41"/>
      <c r="AS50" s="53">
        <f>SUM(AN50:AR50)</f>
        <v>0</v>
      </c>
      <c r="AT50" s="13"/>
      <c r="AU50" s="13"/>
      <c r="AV50" s="13"/>
      <c r="AW50" s="13"/>
      <c r="AX50" s="13"/>
      <c r="AY50" s="46">
        <f t="shared" si="17"/>
        <v>0</v>
      </c>
      <c r="AZ50" s="13"/>
      <c r="BA50" s="13"/>
      <c r="BB50" s="46">
        <f t="shared" si="28"/>
        <v>0</v>
      </c>
      <c r="BC50" s="13"/>
      <c r="BD50" s="13"/>
      <c r="BE50" s="13"/>
      <c r="BF50" s="13"/>
      <c r="BG50" s="13">
        <v>6431.9</v>
      </c>
      <c r="BH50" s="13"/>
      <c r="BI50" s="13"/>
      <c r="BJ50" s="46">
        <f t="shared" si="29"/>
        <v>6431.9</v>
      </c>
      <c r="BK50" s="13"/>
      <c r="BL50" s="13"/>
      <c r="BM50" s="13"/>
      <c r="BN50" s="13"/>
      <c r="BO50" s="13"/>
      <c r="BP50" s="13"/>
      <c r="BQ50" s="13"/>
      <c r="BR50" s="13">
        <v>1556.2</v>
      </c>
      <c r="BS50" s="13"/>
      <c r="BT50" s="13"/>
      <c r="BU50" s="13"/>
      <c r="BV50" s="13"/>
      <c r="BW50" s="13"/>
      <c r="BX50" s="13"/>
      <c r="BY50" s="13"/>
      <c r="BZ50" s="46">
        <f t="shared" si="20"/>
        <v>1556.2</v>
      </c>
      <c r="CA50" s="105"/>
      <c r="CB50" s="56"/>
      <c r="CC50" s="13"/>
      <c r="CD50" s="105"/>
      <c r="CE50" s="105"/>
      <c r="CF50" s="105"/>
      <c r="CG50" s="105"/>
      <c r="CH50" s="105"/>
      <c r="CI50" s="105"/>
      <c r="CJ50" s="105"/>
      <c r="CK50" s="105"/>
      <c r="CL50" s="56">
        <f t="shared" si="21"/>
        <v>0</v>
      </c>
      <c r="CM50" s="40">
        <f t="shared" si="22"/>
        <v>7988.099999999999</v>
      </c>
      <c r="CN50" s="9" t="s">
        <v>47</v>
      </c>
      <c r="CO50" s="9">
        <v>1082.01</v>
      </c>
      <c r="CP50" s="117">
        <f t="shared" si="23"/>
        <v>7988.099999999999</v>
      </c>
      <c r="CQ50" s="40">
        <f t="shared" si="24"/>
        <v>0</v>
      </c>
    </row>
    <row r="51" spans="1:95" ht="21" customHeight="1">
      <c r="A51" s="26">
        <v>43</v>
      </c>
      <c r="B51" s="9" t="s">
        <v>48</v>
      </c>
      <c r="C51" s="11">
        <v>724.07</v>
      </c>
      <c r="D51" s="11">
        <v>2107</v>
      </c>
      <c r="E51" s="11"/>
      <c r="F51" s="11"/>
      <c r="G51" s="11"/>
      <c r="H51" s="11"/>
      <c r="I51" s="11"/>
      <c r="J51" s="14"/>
      <c r="K51" s="46">
        <f>SUM(D51:J51)</f>
        <v>2107</v>
      </c>
      <c r="L51" s="13"/>
      <c r="M51" s="13"/>
      <c r="N51" s="13"/>
      <c r="O51" s="46">
        <f t="shared" si="25"/>
        <v>0</v>
      </c>
      <c r="P51" s="13"/>
      <c r="Q51" s="13"/>
      <c r="R51" s="13"/>
      <c r="S51" s="13"/>
      <c r="T51" s="13"/>
      <c r="U51" s="13"/>
      <c r="V51" s="13"/>
      <c r="W51" s="13"/>
      <c r="X51" s="46">
        <f t="shared" si="11"/>
        <v>0</v>
      </c>
      <c r="Y51" s="13"/>
      <c r="Z51" s="13"/>
      <c r="AA51" s="13"/>
      <c r="AB51" s="13"/>
      <c r="AC51" s="13"/>
      <c r="AD51" s="13"/>
      <c r="AE51" s="13"/>
      <c r="AF51" s="13"/>
      <c r="AG51" s="13"/>
      <c r="AH51" s="46">
        <f t="shared" si="26"/>
        <v>0</v>
      </c>
      <c r="AI51" s="13"/>
      <c r="AJ51" s="13"/>
      <c r="AK51" s="13"/>
      <c r="AL51" s="13"/>
      <c r="AM51" s="46">
        <f t="shared" si="27"/>
        <v>0</v>
      </c>
      <c r="AN51" s="41"/>
      <c r="AO51" s="41"/>
      <c r="AP51" s="41"/>
      <c r="AQ51" s="41"/>
      <c r="AR51" s="41"/>
      <c r="AS51" s="46"/>
      <c r="AT51" s="13"/>
      <c r="AU51" s="13"/>
      <c r="AV51" s="13"/>
      <c r="AW51" s="13"/>
      <c r="AX51" s="13"/>
      <c r="AY51" s="46">
        <f t="shared" si="17"/>
        <v>0</v>
      </c>
      <c r="AZ51" s="13"/>
      <c r="BA51" s="13"/>
      <c r="BB51" s="46">
        <f t="shared" si="28"/>
        <v>0</v>
      </c>
      <c r="BC51" s="13">
        <v>82223</v>
      </c>
      <c r="BD51" s="13">
        <v>78777</v>
      </c>
      <c r="BE51" s="13">
        <v>6069.3</v>
      </c>
      <c r="BF51" s="13"/>
      <c r="BG51" s="13"/>
      <c r="BH51" s="13"/>
      <c r="BI51" s="13"/>
      <c r="BJ51" s="46">
        <f t="shared" si="29"/>
        <v>167069.3</v>
      </c>
      <c r="BK51" s="13"/>
      <c r="BL51" s="13"/>
      <c r="BM51" s="13"/>
      <c r="BN51" s="13"/>
      <c r="BO51" s="13">
        <v>1390.5</v>
      </c>
      <c r="BP51" s="13"/>
      <c r="BQ51" s="13"/>
      <c r="BR51" s="13"/>
      <c r="BS51" s="13"/>
      <c r="BT51" s="13"/>
      <c r="BU51" s="13">
        <v>82081</v>
      </c>
      <c r="BV51" s="13">
        <v>78777</v>
      </c>
      <c r="BW51" s="13"/>
      <c r="BX51" s="13"/>
      <c r="BY51" s="13"/>
      <c r="BZ51" s="46">
        <f t="shared" si="20"/>
        <v>162248.5</v>
      </c>
      <c r="CA51" s="105"/>
      <c r="CB51" s="56"/>
      <c r="CC51" s="13"/>
      <c r="CD51" s="105"/>
      <c r="CE51" s="105"/>
      <c r="CF51" s="105"/>
      <c r="CG51" s="105"/>
      <c r="CH51" s="105"/>
      <c r="CI51" s="105"/>
      <c r="CJ51" s="105"/>
      <c r="CK51" s="105"/>
      <c r="CL51" s="56">
        <f t="shared" si="21"/>
        <v>0</v>
      </c>
      <c r="CM51" s="40">
        <f t="shared" si="22"/>
        <v>331424.8</v>
      </c>
      <c r="CN51" s="9" t="s">
        <v>48</v>
      </c>
      <c r="CO51" s="9">
        <v>724.07</v>
      </c>
      <c r="CP51" s="117">
        <f t="shared" si="23"/>
        <v>329317.8</v>
      </c>
      <c r="CQ51" s="40">
        <f t="shared" si="24"/>
        <v>2107</v>
      </c>
    </row>
    <row r="52" spans="1:95" ht="21" customHeight="1">
      <c r="A52" s="26">
        <v>44</v>
      </c>
      <c r="B52" s="9" t="s">
        <v>49</v>
      </c>
      <c r="C52" s="11">
        <v>778.2</v>
      </c>
      <c r="D52" s="11"/>
      <c r="E52" s="11"/>
      <c r="F52" s="11"/>
      <c r="G52" s="11"/>
      <c r="H52" s="11"/>
      <c r="I52" s="11"/>
      <c r="J52" s="14"/>
      <c r="K52" s="46">
        <f t="shared" si="13"/>
        <v>0</v>
      </c>
      <c r="L52" s="13"/>
      <c r="M52" s="13"/>
      <c r="N52" s="13"/>
      <c r="O52" s="46">
        <f t="shared" si="25"/>
        <v>0</v>
      </c>
      <c r="P52" s="13"/>
      <c r="Q52" s="13">
        <v>5138.5</v>
      </c>
      <c r="R52" s="13">
        <v>4403.2</v>
      </c>
      <c r="S52" s="13"/>
      <c r="T52" s="13"/>
      <c r="U52" s="13"/>
      <c r="V52" s="13"/>
      <c r="W52" s="13"/>
      <c r="X52" s="46">
        <f t="shared" si="11"/>
        <v>9541.7</v>
      </c>
      <c r="Y52" s="13"/>
      <c r="Z52" s="13"/>
      <c r="AA52" s="13"/>
      <c r="AB52" s="13"/>
      <c r="AC52" s="13"/>
      <c r="AD52" s="13"/>
      <c r="AE52" s="13"/>
      <c r="AF52" s="13"/>
      <c r="AG52" s="13"/>
      <c r="AH52" s="46">
        <f t="shared" si="26"/>
        <v>0</v>
      </c>
      <c r="AI52" s="13"/>
      <c r="AJ52" s="13"/>
      <c r="AK52" s="13"/>
      <c r="AL52" s="13"/>
      <c r="AM52" s="46">
        <f t="shared" si="27"/>
        <v>0</v>
      </c>
      <c r="AN52" s="41"/>
      <c r="AO52" s="41"/>
      <c r="AP52" s="41"/>
      <c r="AQ52" s="41"/>
      <c r="AR52" s="41"/>
      <c r="AS52" s="46">
        <f>SUM(AN52:AR52)</f>
        <v>0</v>
      </c>
      <c r="AT52" s="13"/>
      <c r="AU52" s="13"/>
      <c r="AV52" s="13"/>
      <c r="AW52" s="13"/>
      <c r="AX52" s="13"/>
      <c r="AY52" s="46">
        <f t="shared" si="17"/>
        <v>0</v>
      </c>
      <c r="AZ52" s="13"/>
      <c r="BA52" s="13"/>
      <c r="BB52" s="46">
        <f t="shared" si="28"/>
        <v>0</v>
      </c>
      <c r="BC52" s="13"/>
      <c r="BD52" s="13"/>
      <c r="BE52" s="13"/>
      <c r="BF52" s="13"/>
      <c r="BG52" s="13"/>
      <c r="BH52" s="13"/>
      <c r="BI52" s="13"/>
      <c r="BJ52" s="46">
        <f t="shared" si="29"/>
        <v>0</v>
      </c>
      <c r="BK52" s="13">
        <v>5329.8</v>
      </c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46">
        <f t="shared" si="20"/>
        <v>5329.8</v>
      </c>
      <c r="CA52" s="105"/>
      <c r="CB52" s="56"/>
      <c r="CC52" s="13"/>
      <c r="CD52" s="105"/>
      <c r="CE52" s="105"/>
      <c r="CF52" s="105"/>
      <c r="CG52" s="105"/>
      <c r="CH52" s="105"/>
      <c r="CI52" s="105"/>
      <c r="CJ52" s="105"/>
      <c r="CK52" s="105"/>
      <c r="CL52" s="56">
        <f t="shared" si="21"/>
        <v>0</v>
      </c>
      <c r="CM52" s="40">
        <f t="shared" si="22"/>
        <v>14871.5</v>
      </c>
      <c r="CN52" s="9" t="s">
        <v>49</v>
      </c>
      <c r="CO52" s="9">
        <v>778.2</v>
      </c>
      <c r="CP52" s="117">
        <f t="shared" si="23"/>
        <v>5329.8</v>
      </c>
      <c r="CQ52" s="40">
        <f t="shared" si="24"/>
        <v>9541.7</v>
      </c>
    </row>
    <row r="53" spans="1:95" ht="21" customHeight="1">
      <c r="A53" s="26">
        <v>45</v>
      </c>
      <c r="B53" s="9" t="s">
        <v>50</v>
      </c>
      <c r="C53" s="11">
        <v>427.81</v>
      </c>
      <c r="D53" s="11"/>
      <c r="E53" s="11"/>
      <c r="F53" s="11"/>
      <c r="G53" s="11"/>
      <c r="H53" s="11"/>
      <c r="I53" s="11">
        <v>5761</v>
      </c>
      <c r="J53" s="14"/>
      <c r="K53" s="46">
        <f>SUM(D53:J53)</f>
        <v>5761</v>
      </c>
      <c r="L53" s="13"/>
      <c r="M53" s="13"/>
      <c r="N53" s="13"/>
      <c r="O53" s="46">
        <f t="shared" si="25"/>
        <v>0</v>
      </c>
      <c r="P53" s="13"/>
      <c r="Q53" s="13"/>
      <c r="R53" s="13"/>
      <c r="S53" s="13"/>
      <c r="T53" s="13"/>
      <c r="U53" s="13"/>
      <c r="V53" s="13"/>
      <c r="W53" s="13"/>
      <c r="X53" s="46">
        <f t="shared" si="11"/>
        <v>0</v>
      </c>
      <c r="Y53" s="13"/>
      <c r="Z53" s="13"/>
      <c r="AA53" s="13"/>
      <c r="AB53" s="13"/>
      <c r="AC53" s="13"/>
      <c r="AD53" s="13"/>
      <c r="AE53" s="13"/>
      <c r="AF53" s="13"/>
      <c r="AG53" s="13"/>
      <c r="AH53" s="46">
        <f t="shared" si="26"/>
        <v>0</v>
      </c>
      <c r="AI53" s="13"/>
      <c r="AJ53" s="13"/>
      <c r="AK53" s="13"/>
      <c r="AL53" s="13"/>
      <c r="AM53" s="46">
        <f t="shared" si="27"/>
        <v>0</v>
      </c>
      <c r="AN53" s="41"/>
      <c r="AO53" s="41"/>
      <c r="AP53" s="41"/>
      <c r="AQ53" s="41"/>
      <c r="AR53" s="41"/>
      <c r="AS53" s="46"/>
      <c r="AT53" s="13"/>
      <c r="AU53" s="13"/>
      <c r="AV53" s="13"/>
      <c r="AW53" s="13"/>
      <c r="AX53" s="13"/>
      <c r="AY53" s="46">
        <f t="shared" si="17"/>
        <v>0</v>
      </c>
      <c r="AZ53" s="13"/>
      <c r="BA53" s="13"/>
      <c r="BB53" s="46">
        <f t="shared" si="28"/>
        <v>0</v>
      </c>
      <c r="BC53" s="13"/>
      <c r="BD53" s="13"/>
      <c r="BE53" s="13"/>
      <c r="BF53" s="13"/>
      <c r="BG53" s="13"/>
      <c r="BH53" s="13"/>
      <c r="BI53" s="13"/>
      <c r="BJ53" s="46">
        <f t="shared" si="29"/>
        <v>0</v>
      </c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46">
        <f t="shared" si="20"/>
        <v>0</v>
      </c>
      <c r="CA53" s="105"/>
      <c r="CB53" s="56"/>
      <c r="CC53" s="13"/>
      <c r="CD53" s="105"/>
      <c r="CE53" s="105"/>
      <c r="CF53" s="105"/>
      <c r="CG53" s="105"/>
      <c r="CH53" s="105"/>
      <c r="CI53" s="105"/>
      <c r="CJ53" s="105"/>
      <c r="CK53" s="105"/>
      <c r="CL53" s="56">
        <f t="shared" si="21"/>
        <v>0</v>
      </c>
      <c r="CM53" s="40">
        <f t="shared" si="22"/>
        <v>5761</v>
      </c>
      <c r="CN53" s="9" t="s">
        <v>50</v>
      </c>
      <c r="CO53" s="9">
        <v>427.81</v>
      </c>
      <c r="CP53" s="117">
        <f t="shared" si="23"/>
        <v>0</v>
      </c>
      <c r="CQ53" s="40">
        <f t="shared" si="24"/>
        <v>5761</v>
      </c>
    </row>
    <row r="54" spans="1:95" ht="21" customHeight="1">
      <c r="A54" s="26">
        <v>46</v>
      </c>
      <c r="B54" s="9" t="s">
        <v>51</v>
      </c>
      <c r="C54" s="11">
        <v>569.5</v>
      </c>
      <c r="D54" s="11">
        <v>2009</v>
      </c>
      <c r="E54" s="11"/>
      <c r="F54" s="11"/>
      <c r="G54" s="11"/>
      <c r="H54" s="11"/>
      <c r="I54" s="11"/>
      <c r="J54" s="14"/>
      <c r="K54" s="46">
        <f>SUM(D54:J54)</f>
        <v>2009</v>
      </c>
      <c r="L54" s="13"/>
      <c r="M54" s="13"/>
      <c r="N54" s="13"/>
      <c r="O54" s="46">
        <f t="shared" si="25"/>
        <v>0</v>
      </c>
      <c r="P54" s="13"/>
      <c r="Q54" s="13"/>
      <c r="R54" s="13"/>
      <c r="S54" s="13"/>
      <c r="T54" s="13"/>
      <c r="U54" s="13"/>
      <c r="V54" s="13"/>
      <c r="W54" s="13">
        <v>3395.1</v>
      </c>
      <c r="X54" s="46">
        <f t="shared" si="11"/>
        <v>3395.1</v>
      </c>
      <c r="Y54" s="13"/>
      <c r="Z54" s="13"/>
      <c r="AA54" s="13"/>
      <c r="AB54" s="13"/>
      <c r="AC54" s="13"/>
      <c r="AD54" s="13"/>
      <c r="AE54" s="13"/>
      <c r="AF54" s="13"/>
      <c r="AG54" s="13"/>
      <c r="AH54" s="46">
        <f t="shared" si="26"/>
        <v>0</v>
      </c>
      <c r="AI54" s="13">
        <v>3827.4</v>
      </c>
      <c r="AJ54" s="13"/>
      <c r="AK54" s="13"/>
      <c r="AL54" s="13"/>
      <c r="AM54" s="46">
        <f t="shared" si="27"/>
        <v>3827.4</v>
      </c>
      <c r="AN54" s="41"/>
      <c r="AO54" s="41"/>
      <c r="AP54" s="41"/>
      <c r="AQ54" s="41"/>
      <c r="AR54" s="41"/>
      <c r="AS54" s="46"/>
      <c r="AT54" s="13"/>
      <c r="AU54" s="13"/>
      <c r="AV54" s="13"/>
      <c r="AW54" s="13"/>
      <c r="AX54" s="13"/>
      <c r="AY54" s="46">
        <f t="shared" si="17"/>
        <v>0</v>
      </c>
      <c r="AZ54" s="13"/>
      <c r="BA54" s="13"/>
      <c r="BB54" s="46">
        <f t="shared" si="28"/>
        <v>0</v>
      </c>
      <c r="BC54" s="13"/>
      <c r="BD54" s="13"/>
      <c r="BE54" s="13"/>
      <c r="BF54" s="13"/>
      <c r="BG54" s="13"/>
      <c r="BH54" s="13"/>
      <c r="BI54" s="13"/>
      <c r="BJ54" s="46">
        <f t="shared" si="29"/>
        <v>0</v>
      </c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46">
        <f t="shared" si="20"/>
        <v>0</v>
      </c>
      <c r="CA54" s="105"/>
      <c r="CB54" s="56"/>
      <c r="CC54" s="13"/>
      <c r="CD54" s="105"/>
      <c r="CE54" s="105"/>
      <c r="CF54" s="105"/>
      <c r="CG54" s="105"/>
      <c r="CH54" s="105"/>
      <c r="CI54" s="105"/>
      <c r="CJ54" s="105"/>
      <c r="CK54" s="105"/>
      <c r="CL54" s="56">
        <f t="shared" si="21"/>
        <v>0</v>
      </c>
      <c r="CM54" s="40">
        <f t="shared" si="22"/>
        <v>9231.5</v>
      </c>
      <c r="CN54" s="9" t="s">
        <v>51</v>
      </c>
      <c r="CO54" s="9">
        <v>569.5</v>
      </c>
      <c r="CP54" s="117">
        <f t="shared" si="23"/>
        <v>0</v>
      </c>
      <c r="CQ54" s="40">
        <f t="shared" si="24"/>
        <v>9231.5</v>
      </c>
    </row>
    <row r="55" spans="1:95" ht="21" customHeight="1">
      <c r="A55" s="26">
        <v>47</v>
      </c>
      <c r="B55" s="9" t="s">
        <v>52</v>
      </c>
      <c r="C55" s="11">
        <v>594.16</v>
      </c>
      <c r="D55" s="11">
        <v>2024</v>
      </c>
      <c r="E55" s="11"/>
      <c r="F55" s="11"/>
      <c r="G55" s="11"/>
      <c r="H55" s="11"/>
      <c r="I55" s="11"/>
      <c r="J55" s="14"/>
      <c r="K55" s="46">
        <f>SUM(D55:J55)</f>
        <v>2024</v>
      </c>
      <c r="L55" s="13"/>
      <c r="M55" s="13"/>
      <c r="N55" s="13"/>
      <c r="O55" s="46">
        <f t="shared" si="25"/>
        <v>0</v>
      </c>
      <c r="P55" s="13"/>
      <c r="Q55" s="13"/>
      <c r="R55" s="13"/>
      <c r="S55" s="13"/>
      <c r="T55" s="13"/>
      <c r="U55" s="13"/>
      <c r="V55" s="13"/>
      <c r="W55" s="13"/>
      <c r="X55" s="46">
        <f t="shared" si="11"/>
        <v>0</v>
      </c>
      <c r="Y55" s="13"/>
      <c r="Z55" s="13"/>
      <c r="AA55" s="13"/>
      <c r="AB55" s="13"/>
      <c r="AC55" s="13"/>
      <c r="AD55" s="13"/>
      <c r="AE55" s="13"/>
      <c r="AF55" s="13"/>
      <c r="AG55" s="13"/>
      <c r="AH55" s="46">
        <f t="shared" si="26"/>
        <v>0</v>
      </c>
      <c r="AI55" s="13"/>
      <c r="AJ55" s="13"/>
      <c r="AK55" s="13"/>
      <c r="AL55" s="13"/>
      <c r="AM55" s="46">
        <f t="shared" si="27"/>
        <v>0</v>
      </c>
      <c r="AN55" s="41"/>
      <c r="AO55" s="41"/>
      <c r="AP55" s="41"/>
      <c r="AQ55" s="41"/>
      <c r="AR55" s="41"/>
      <c r="AS55" s="46"/>
      <c r="AT55" s="13"/>
      <c r="AU55" s="13"/>
      <c r="AV55" s="13"/>
      <c r="AW55" s="13"/>
      <c r="AX55" s="13"/>
      <c r="AY55" s="46">
        <f t="shared" si="17"/>
        <v>0</v>
      </c>
      <c r="AZ55" s="13"/>
      <c r="BA55" s="13"/>
      <c r="BB55" s="46">
        <f t="shared" si="28"/>
        <v>0</v>
      </c>
      <c r="BC55" s="13"/>
      <c r="BD55" s="13"/>
      <c r="BE55" s="13"/>
      <c r="BF55" s="13"/>
      <c r="BG55" s="13"/>
      <c r="BH55" s="13"/>
      <c r="BI55" s="13"/>
      <c r="BJ55" s="46">
        <f t="shared" si="29"/>
        <v>0</v>
      </c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46">
        <f t="shared" si="20"/>
        <v>0</v>
      </c>
      <c r="CA55" s="105"/>
      <c r="CB55" s="56"/>
      <c r="CC55" s="13"/>
      <c r="CD55" s="105"/>
      <c r="CE55" s="105"/>
      <c r="CF55" s="105"/>
      <c r="CG55" s="105"/>
      <c r="CH55" s="105"/>
      <c r="CI55" s="105"/>
      <c r="CJ55" s="105">
        <v>1561.3</v>
      </c>
      <c r="CK55" s="105"/>
      <c r="CL55" s="56">
        <f t="shared" si="21"/>
        <v>1561.3</v>
      </c>
      <c r="CM55" s="40">
        <f t="shared" si="22"/>
        <v>3585.3</v>
      </c>
      <c r="CN55" s="9" t="s">
        <v>52</v>
      </c>
      <c r="CO55" s="9">
        <v>594.16</v>
      </c>
      <c r="CP55" s="117">
        <f t="shared" si="23"/>
        <v>1561.3</v>
      </c>
      <c r="CQ55" s="40">
        <f t="shared" si="24"/>
        <v>2024</v>
      </c>
    </row>
    <row r="56" spans="1:95" ht="21" customHeight="1">
      <c r="A56" s="26">
        <v>48</v>
      </c>
      <c r="B56" s="9" t="s">
        <v>53</v>
      </c>
      <c r="C56" s="11">
        <v>389.14</v>
      </c>
      <c r="D56" s="11"/>
      <c r="E56" s="11"/>
      <c r="F56" s="11"/>
      <c r="G56" s="11"/>
      <c r="H56" s="11"/>
      <c r="I56" s="11"/>
      <c r="J56" s="14">
        <v>3687</v>
      </c>
      <c r="K56" s="46">
        <f t="shared" si="13"/>
        <v>3687</v>
      </c>
      <c r="L56" s="13"/>
      <c r="M56" s="13"/>
      <c r="N56" s="13"/>
      <c r="O56" s="46">
        <f t="shared" si="25"/>
        <v>0</v>
      </c>
      <c r="P56" s="13"/>
      <c r="Q56" s="13"/>
      <c r="R56" s="13"/>
      <c r="S56" s="13"/>
      <c r="T56" s="13"/>
      <c r="U56" s="13"/>
      <c r="V56" s="13"/>
      <c r="W56" s="13"/>
      <c r="X56" s="46">
        <f t="shared" si="11"/>
        <v>0</v>
      </c>
      <c r="Y56" s="13"/>
      <c r="Z56" s="13"/>
      <c r="AA56" s="13"/>
      <c r="AB56" s="13"/>
      <c r="AC56" s="13"/>
      <c r="AD56" s="13"/>
      <c r="AE56" s="13"/>
      <c r="AF56" s="13"/>
      <c r="AG56" s="13"/>
      <c r="AH56" s="46">
        <f t="shared" si="26"/>
        <v>0</v>
      </c>
      <c r="AI56" s="13"/>
      <c r="AJ56" s="13"/>
      <c r="AK56" s="13"/>
      <c r="AL56" s="13"/>
      <c r="AM56" s="46">
        <f t="shared" si="27"/>
        <v>0</v>
      </c>
      <c r="AN56" s="41"/>
      <c r="AO56" s="41"/>
      <c r="AP56" s="41"/>
      <c r="AQ56" s="41"/>
      <c r="AR56" s="41"/>
      <c r="AS56" s="46"/>
      <c r="AT56" s="13">
        <v>54999</v>
      </c>
      <c r="AU56" s="13"/>
      <c r="AV56" s="13"/>
      <c r="AW56" s="13"/>
      <c r="AX56" s="13"/>
      <c r="AY56" s="46">
        <f t="shared" si="17"/>
        <v>54999</v>
      </c>
      <c r="AZ56" s="13"/>
      <c r="BA56" s="13"/>
      <c r="BB56" s="46">
        <f t="shared" si="28"/>
        <v>0</v>
      </c>
      <c r="BC56" s="13"/>
      <c r="BD56" s="13"/>
      <c r="BE56" s="13"/>
      <c r="BF56" s="13"/>
      <c r="BG56" s="13"/>
      <c r="BH56" s="13"/>
      <c r="BI56" s="13"/>
      <c r="BJ56" s="46">
        <f t="shared" si="29"/>
        <v>0</v>
      </c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46">
        <f t="shared" si="20"/>
        <v>0</v>
      </c>
      <c r="CA56" s="105"/>
      <c r="CB56" s="56"/>
      <c r="CC56" s="13"/>
      <c r="CD56" s="105"/>
      <c r="CE56" s="105"/>
      <c r="CF56" s="105"/>
      <c r="CG56" s="105"/>
      <c r="CH56" s="105"/>
      <c r="CI56" s="105"/>
      <c r="CJ56" s="105"/>
      <c r="CK56" s="105"/>
      <c r="CL56" s="56">
        <f t="shared" si="21"/>
        <v>0</v>
      </c>
      <c r="CM56" s="40">
        <f t="shared" si="22"/>
        <v>58686</v>
      </c>
      <c r="CN56" s="9" t="s">
        <v>53</v>
      </c>
      <c r="CO56" s="9">
        <v>389.14</v>
      </c>
      <c r="CP56" s="117">
        <f t="shared" si="23"/>
        <v>54999</v>
      </c>
      <c r="CQ56" s="40">
        <f t="shared" si="24"/>
        <v>3687</v>
      </c>
    </row>
    <row r="57" spans="1:95" ht="21" customHeight="1">
      <c r="A57" s="26">
        <v>49</v>
      </c>
      <c r="B57" s="9" t="s">
        <v>54</v>
      </c>
      <c r="C57" s="11">
        <v>1187.41</v>
      </c>
      <c r="D57" s="11"/>
      <c r="E57" s="11"/>
      <c r="F57" s="11"/>
      <c r="G57" s="11"/>
      <c r="H57" s="11"/>
      <c r="I57" s="11"/>
      <c r="J57" s="14"/>
      <c r="K57" s="46">
        <f t="shared" si="13"/>
        <v>0</v>
      </c>
      <c r="L57" s="13"/>
      <c r="M57" s="13"/>
      <c r="N57" s="13"/>
      <c r="O57" s="46">
        <f t="shared" si="25"/>
        <v>0</v>
      </c>
      <c r="P57" s="13"/>
      <c r="Q57" s="13"/>
      <c r="R57" s="13"/>
      <c r="S57" s="13"/>
      <c r="T57" s="13"/>
      <c r="U57" s="13"/>
      <c r="V57" s="13"/>
      <c r="W57" s="13"/>
      <c r="X57" s="46">
        <f t="shared" si="11"/>
        <v>0</v>
      </c>
      <c r="Y57" s="13">
        <v>2916.8</v>
      </c>
      <c r="Z57" s="13"/>
      <c r="AA57" s="13"/>
      <c r="AB57" s="13"/>
      <c r="AC57" s="13"/>
      <c r="AD57" s="13"/>
      <c r="AE57" s="13"/>
      <c r="AF57" s="13"/>
      <c r="AG57" s="13"/>
      <c r="AH57" s="46">
        <f t="shared" si="26"/>
        <v>2916.8</v>
      </c>
      <c r="AI57" s="13"/>
      <c r="AJ57" s="13"/>
      <c r="AK57" s="13"/>
      <c r="AL57" s="13"/>
      <c r="AM57" s="46">
        <f t="shared" si="27"/>
        <v>0</v>
      </c>
      <c r="AN57" s="41"/>
      <c r="AO57" s="41"/>
      <c r="AP57" s="41"/>
      <c r="AQ57" s="41">
        <v>86474</v>
      </c>
      <c r="AR57" s="41"/>
      <c r="AS57" s="46">
        <f>SUM(AO57:AR57)</f>
        <v>86474</v>
      </c>
      <c r="AT57" s="13"/>
      <c r="AU57" s="13"/>
      <c r="AV57" s="13"/>
      <c r="AW57" s="13"/>
      <c r="AX57" s="13"/>
      <c r="AY57" s="46">
        <f t="shared" si="17"/>
        <v>0</v>
      </c>
      <c r="AZ57" s="13"/>
      <c r="BA57" s="13"/>
      <c r="BB57" s="46">
        <f t="shared" si="28"/>
        <v>0</v>
      </c>
      <c r="BC57" s="13"/>
      <c r="BD57" s="13"/>
      <c r="BE57" s="13"/>
      <c r="BF57" s="13"/>
      <c r="BG57" s="13"/>
      <c r="BH57" s="13"/>
      <c r="BI57" s="13"/>
      <c r="BJ57" s="46">
        <f t="shared" si="29"/>
        <v>0</v>
      </c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>
        <v>2686.4</v>
      </c>
      <c r="BY57" s="13"/>
      <c r="BZ57" s="46">
        <f t="shared" si="20"/>
        <v>2686.4</v>
      </c>
      <c r="CA57" s="105"/>
      <c r="CB57" s="56"/>
      <c r="CC57" s="13"/>
      <c r="CD57" s="105"/>
      <c r="CE57" s="105"/>
      <c r="CF57" s="105"/>
      <c r="CG57" s="105"/>
      <c r="CH57" s="105"/>
      <c r="CI57" s="105"/>
      <c r="CJ57" s="105"/>
      <c r="CK57" s="105"/>
      <c r="CL57" s="56">
        <f t="shared" si="21"/>
        <v>0</v>
      </c>
      <c r="CM57" s="40">
        <f t="shared" si="22"/>
        <v>92077.2</v>
      </c>
      <c r="CN57" s="9" t="s">
        <v>54</v>
      </c>
      <c r="CO57" s="9">
        <v>1187.41</v>
      </c>
      <c r="CP57" s="117">
        <f t="shared" si="23"/>
        <v>2686.4</v>
      </c>
      <c r="CQ57" s="40">
        <f t="shared" si="24"/>
        <v>89390.8</v>
      </c>
    </row>
    <row r="58" spans="1:95" ht="21" customHeight="1">
      <c r="A58" s="26">
        <v>50</v>
      </c>
      <c r="B58" s="27" t="s">
        <v>55</v>
      </c>
      <c r="C58" s="28">
        <v>1272.14</v>
      </c>
      <c r="D58" s="28"/>
      <c r="E58" s="28"/>
      <c r="F58" s="28"/>
      <c r="G58" s="28"/>
      <c r="H58" s="28"/>
      <c r="I58" s="28"/>
      <c r="J58" s="29"/>
      <c r="K58" s="46">
        <f t="shared" si="13"/>
        <v>0</v>
      </c>
      <c r="L58" s="30"/>
      <c r="M58" s="30"/>
      <c r="N58" s="30"/>
      <c r="O58" s="46">
        <f t="shared" si="25"/>
        <v>0</v>
      </c>
      <c r="P58" s="30"/>
      <c r="Q58" s="30"/>
      <c r="R58" s="30"/>
      <c r="S58" s="30"/>
      <c r="T58" s="30"/>
      <c r="U58" s="30"/>
      <c r="V58" s="30"/>
      <c r="W58" s="30"/>
      <c r="X58" s="46">
        <f t="shared" si="11"/>
        <v>0</v>
      </c>
      <c r="Y58" s="30"/>
      <c r="Z58" s="30"/>
      <c r="AA58" s="30"/>
      <c r="AB58" s="30"/>
      <c r="AC58" s="30"/>
      <c r="AD58" s="30"/>
      <c r="AE58" s="30"/>
      <c r="AF58" s="30"/>
      <c r="AG58" s="30"/>
      <c r="AH58" s="46">
        <f t="shared" si="26"/>
        <v>0</v>
      </c>
      <c r="AI58" s="30"/>
      <c r="AJ58" s="30"/>
      <c r="AK58" s="30"/>
      <c r="AL58" s="30">
        <v>23977</v>
      </c>
      <c r="AM58" s="46">
        <f t="shared" si="27"/>
        <v>23977</v>
      </c>
      <c r="AN58" s="41"/>
      <c r="AO58" s="41"/>
      <c r="AP58" s="41"/>
      <c r="AQ58" s="41"/>
      <c r="AR58" s="41"/>
      <c r="AS58" s="46"/>
      <c r="AT58" s="30"/>
      <c r="AU58" s="30"/>
      <c r="AV58" s="30"/>
      <c r="AW58" s="30"/>
      <c r="AX58" s="30"/>
      <c r="AY58" s="46">
        <f t="shared" si="17"/>
        <v>0</v>
      </c>
      <c r="AZ58" s="30"/>
      <c r="BA58" s="30"/>
      <c r="BB58" s="46">
        <f t="shared" si="28"/>
        <v>0</v>
      </c>
      <c r="BC58" s="30"/>
      <c r="BD58" s="30"/>
      <c r="BE58" s="30"/>
      <c r="BF58" s="30"/>
      <c r="BG58" s="30"/>
      <c r="BH58" s="30"/>
      <c r="BI58" s="30"/>
      <c r="BJ58" s="46">
        <f t="shared" si="29"/>
        <v>0</v>
      </c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46">
        <f t="shared" si="20"/>
        <v>0</v>
      </c>
      <c r="CA58" s="108"/>
      <c r="CB58" s="56"/>
      <c r="CC58" s="30"/>
      <c r="CD58" s="108"/>
      <c r="CE58" s="108"/>
      <c r="CF58" s="108"/>
      <c r="CG58" s="108"/>
      <c r="CH58" s="108"/>
      <c r="CI58" s="108"/>
      <c r="CJ58" s="108"/>
      <c r="CK58" s="108"/>
      <c r="CL58" s="56">
        <f t="shared" si="21"/>
        <v>0</v>
      </c>
      <c r="CM58" s="40">
        <f t="shared" si="22"/>
        <v>23977</v>
      </c>
      <c r="CN58" s="27" t="s">
        <v>55</v>
      </c>
      <c r="CO58" s="60">
        <v>1272.14</v>
      </c>
      <c r="CP58" s="117">
        <f t="shared" si="23"/>
        <v>0</v>
      </c>
      <c r="CQ58" s="40">
        <f t="shared" si="24"/>
        <v>23977</v>
      </c>
    </row>
    <row r="59" spans="1:95" ht="21" customHeight="1">
      <c r="A59" s="26">
        <v>51</v>
      </c>
      <c r="B59" s="9" t="s">
        <v>56</v>
      </c>
      <c r="C59" s="12">
        <v>679.61</v>
      </c>
      <c r="D59" s="12"/>
      <c r="E59" s="12"/>
      <c r="F59" s="12"/>
      <c r="G59" s="12">
        <v>1826</v>
      </c>
      <c r="H59" s="12"/>
      <c r="I59" s="12"/>
      <c r="J59" s="14"/>
      <c r="K59" s="46">
        <f>SUM(G59:J59)</f>
        <v>1826</v>
      </c>
      <c r="L59" s="13"/>
      <c r="M59" s="13"/>
      <c r="N59" s="13"/>
      <c r="O59" s="46">
        <f t="shared" si="25"/>
        <v>0</v>
      </c>
      <c r="P59" s="13"/>
      <c r="Q59" s="13"/>
      <c r="R59" s="13"/>
      <c r="S59" s="13"/>
      <c r="T59" s="13"/>
      <c r="U59" s="13"/>
      <c r="V59" s="13"/>
      <c r="W59" s="13"/>
      <c r="X59" s="46">
        <f t="shared" si="11"/>
        <v>0</v>
      </c>
      <c r="Y59" s="13"/>
      <c r="Z59" s="13"/>
      <c r="AA59" s="13"/>
      <c r="AB59" s="13"/>
      <c r="AC59" s="13"/>
      <c r="AD59" s="13"/>
      <c r="AE59" s="13"/>
      <c r="AF59" s="13"/>
      <c r="AG59" s="13"/>
      <c r="AH59" s="46">
        <f t="shared" si="26"/>
        <v>0</v>
      </c>
      <c r="AI59" s="13"/>
      <c r="AJ59" s="13"/>
      <c r="AK59" s="13"/>
      <c r="AL59" s="13"/>
      <c r="AM59" s="46">
        <f t="shared" si="27"/>
        <v>0</v>
      </c>
      <c r="AN59" s="41">
        <v>3152.4</v>
      </c>
      <c r="AO59" s="41"/>
      <c r="AP59" s="41"/>
      <c r="AQ59" s="41"/>
      <c r="AR59" s="41"/>
      <c r="AS59" s="46">
        <f>SUM(AN59:AR59)</f>
        <v>3152.4</v>
      </c>
      <c r="AT59" s="13"/>
      <c r="AU59" s="13"/>
      <c r="AV59" s="13"/>
      <c r="AW59" s="13"/>
      <c r="AX59" s="13"/>
      <c r="AY59" s="46">
        <f t="shared" si="17"/>
        <v>0</v>
      </c>
      <c r="AZ59" s="13"/>
      <c r="BA59" s="13"/>
      <c r="BB59" s="46">
        <f t="shared" si="28"/>
        <v>0</v>
      </c>
      <c r="BC59" s="13"/>
      <c r="BD59" s="13"/>
      <c r="BE59" s="13"/>
      <c r="BF59" s="13"/>
      <c r="BG59" s="13"/>
      <c r="BH59" s="13"/>
      <c r="BI59" s="13"/>
      <c r="BJ59" s="46">
        <f t="shared" si="29"/>
        <v>0</v>
      </c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46">
        <f t="shared" si="20"/>
        <v>0</v>
      </c>
      <c r="CA59" s="105"/>
      <c r="CB59" s="56"/>
      <c r="CC59" s="13"/>
      <c r="CD59" s="105"/>
      <c r="CE59" s="105"/>
      <c r="CF59" s="105"/>
      <c r="CG59" s="105"/>
      <c r="CH59" s="105"/>
      <c r="CI59" s="105"/>
      <c r="CJ59" s="105"/>
      <c r="CK59" s="105"/>
      <c r="CL59" s="56">
        <f t="shared" si="21"/>
        <v>0</v>
      </c>
      <c r="CM59" s="40">
        <f t="shared" si="22"/>
        <v>4978.4</v>
      </c>
      <c r="CN59" s="9" t="s">
        <v>56</v>
      </c>
      <c r="CO59" s="10">
        <v>679.61</v>
      </c>
      <c r="CP59" s="117">
        <f t="shared" si="23"/>
        <v>0</v>
      </c>
      <c r="CQ59" s="40">
        <f t="shared" si="24"/>
        <v>4978.4</v>
      </c>
    </row>
    <row r="60" spans="1:95" ht="21" customHeight="1">
      <c r="A60" s="26">
        <v>52</v>
      </c>
      <c r="B60" s="9" t="s">
        <v>57</v>
      </c>
      <c r="C60" s="11">
        <v>285</v>
      </c>
      <c r="D60" s="11"/>
      <c r="E60" s="11"/>
      <c r="F60" s="11"/>
      <c r="G60" s="11"/>
      <c r="H60" s="11"/>
      <c r="I60" s="11"/>
      <c r="J60" s="14"/>
      <c r="K60" s="46">
        <f t="shared" si="13"/>
        <v>0</v>
      </c>
      <c r="L60" s="13"/>
      <c r="M60" s="13"/>
      <c r="N60" s="13"/>
      <c r="O60" s="46">
        <f t="shared" si="25"/>
        <v>0</v>
      </c>
      <c r="P60" s="13"/>
      <c r="Q60" s="13"/>
      <c r="R60" s="13"/>
      <c r="S60" s="13"/>
      <c r="T60" s="13"/>
      <c r="U60" s="13"/>
      <c r="V60" s="13"/>
      <c r="W60" s="13"/>
      <c r="X60" s="46">
        <f t="shared" si="11"/>
        <v>0</v>
      </c>
      <c r="Y60" s="13"/>
      <c r="Z60" s="13"/>
      <c r="AA60" s="13"/>
      <c r="AB60" s="13"/>
      <c r="AC60" s="13"/>
      <c r="AD60" s="13"/>
      <c r="AE60" s="13"/>
      <c r="AF60" s="13"/>
      <c r="AG60" s="13"/>
      <c r="AH60" s="46">
        <f t="shared" si="26"/>
        <v>0</v>
      </c>
      <c r="AI60" s="13"/>
      <c r="AJ60" s="13"/>
      <c r="AK60" s="13"/>
      <c r="AL60" s="13"/>
      <c r="AM60" s="46">
        <f t="shared" si="27"/>
        <v>0</v>
      </c>
      <c r="AN60" s="41"/>
      <c r="AO60" s="41"/>
      <c r="AP60" s="41"/>
      <c r="AQ60" s="41"/>
      <c r="AR60" s="41"/>
      <c r="AS60" s="46"/>
      <c r="AT60" s="13"/>
      <c r="AU60" s="13"/>
      <c r="AV60" s="13"/>
      <c r="AW60" s="13"/>
      <c r="AX60" s="13"/>
      <c r="AY60" s="46">
        <f t="shared" si="17"/>
        <v>0</v>
      </c>
      <c r="AZ60" s="13"/>
      <c r="BA60" s="13"/>
      <c r="BB60" s="46">
        <f t="shared" si="28"/>
        <v>0</v>
      </c>
      <c r="BC60" s="13"/>
      <c r="BD60" s="13"/>
      <c r="BE60" s="13"/>
      <c r="BF60" s="13"/>
      <c r="BG60" s="13"/>
      <c r="BH60" s="13"/>
      <c r="BI60" s="13"/>
      <c r="BJ60" s="46">
        <f t="shared" si="29"/>
        <v>0</v>
      </c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46">
        <f t="shared" si="20"/>
        <v>0</v>
      </c>
      <c r="CA60" s="105"/>
      <c r="CB60" s="56"/>
      <c r="CC60" s="13"/>
      <c r="CD60" s="105"/>
      <c r="CE60" s="105"/>
      <c r="CF60" s="105"/>
      <c r="CG60" s="105"/>
      <c r="CH60" s="105"/>
      <c r="CI60" s="105"/>
      <c r="CJ60" s="105"/>
      <c r="CK60" s="105"/>
      <c r="CL60" s="56">
        <f t="shared" si="21"/>
        <v>0</v>
      </c>
      <c r="CM60" s="40">
        <f t="shared" si="22"/>
        <v>0</v>
      </c>
      <c r="CN60" s="9" t="s">
        <v>57</v>
      </c>
      <c r="CO60" s="9">
        <v>285</v>
      </c>
      <c r="CP60" s="117">
        <f t="shared" si="23"/>
        <v>0</v>
      </c>
      <c r="CQ60" s="40">
        <f t="shared" si="24"/>
        <v>0</v>
      </c>
    </row>
    <row r="61" spans="1:95" ht="21" customHeight="1">
      <c r="A61" s="26">
        <v>53</v>
      </c>
      <c r="B61" s="9" t="s">
        <v>98</v>
      </c>
      <c r="C61" s="11">
        <v>726.91</v>
      </c>
      <c r="D61" s="11"/>
      <c r="E61" s="11"/>
      <c r="F61" s="11"/>
      <c r="G61" s="11"/>
      <c r="H61" s="11"/>
      <c r="I61" s="11"/>
      <c r="J61" s="14"/>
      <c r="K61" s="46">
        <f>SUM(J61)</f>
        <v>0</v>
      </c>
      <c r="L61" s="13"/>
      <c r="M61" s="13"/>
      <c r="N61" s="13"/>
      <c r="O61" s="46">
        <f t="shared" si="25"/>
        <v>0</v>
      </c>
      <c r="P61" s="13"/>
      <c r="Q61" s="13"/>
      <c r="R61" s="13"/>
      <c r="S61" s="13"/>
      <c r="T61" s="13"/>
      <c r="U61" s="13"/>
      <c r="V61" s="13"/>
      <c r="W61" s="13"/>
      <c r="X61" s="46">
        <f t="shared" si="11"/>
        <v>0</v>
      </c>
      <c r="Y61" s="13"/>
      <c r="Z61" s="13"/>
      <c r="AA61" s="13"/>
      <c r="AB61" s="13"/>
      <c r="AC61" s="13"/>
      <c r="AD61" s="13"/>
      <c r="AE61" s="13"/>
      <c r="AF61" s="13"/>
      <c r="AG61" s="13"/>
      <c r="AH61" s="46">
        <f t="shared" si="26"/>
        <v>0</v>
      </c>
      <c r="AI61" s="13"/>
      <c r="AJ61" s="13"/>
      <c r="AK61" s="13"/>
      <c r="AL61" s="13"/>
      <c r="AM61" s="46">
        <f t="shared" si="27"/>
        <v>0</v>
      </c>
      <c r="AN61" s="41"/>
      <c r="AO61" s="41"/>
      <c r="AP61" s="41"/>
      <c r="AQ61" s="41"/>
      <c r="AR61" s="41"/>
      <c r="AS61" s="46"/>
      <c r="AT61" s="13"/>
      <c r="AU61" s="13"/>
      <c r="AV61" s="13"/>
      <c r="AW61" s="13"/>
      <c r="AX61" s="13"/>
      <c r="AY61" s="46">
        <f t="shared" si="17"/>
        <v>0</v>
      </c>
      <c r="AZ61" s="13"/>
      <c r="BA61" s="13"/>
      <c r="BB61" s="46">
        <f t="shared" si="28"/>
        <v>0</v>
      </c>
      <c r="BC61" s="13"/>
      <c r="BD61" s="13"/>
      <c r="BE61" s="13"/>
      <c r="BF61" s="13"/>
      <c r="BG61" s="13"/>
      <c r="BH61" s="13"/>
      <c r="BI61" s="13"/>
      <c r="BJ61" s="46">
        <f t="shared" si="29"/>
        <v>0</v>
      </c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46">
        <f t="shared" si="20"/>
        <v>0</v>
      </c>
      <c r="CA61" s="105"/>
      <c r="CB61" s="56"/>
      <c r="CC61" s="13">
        <v>33215</v>
      </c>
      <c r="CD61" s="105"/>
      <c r="CE61" s="105"/>
      <c r="CF61" s="105"/>
      <c r="CG61" s="105"/>
      <c r="CH61" s="105"/>
      <c r="CI61" s="105"/>
      <c r="CJ61" s="105"/>
      <c r="CK61" s="105"/>
      <c r="CL61" s="56">
        <f t="shared" si="21"/>
        <v>33215</v>
      </c>
      <c r="CM61" s="40">
        <f t="shared" si="22"/>
        <v>33215</v>
      </c>
      <c r="CN61" s="9" t="s">
        <v>58</v>
      </c>
      <c r="CO61" s="9">
        <v>726.91</v>
      </c>
      <c r="CP61" s="117">
        <f t="shared" si="23"/>
        <v>33215</v>
      </c>
      <c r="CQ61" s="40">
        <f t="shared" si="24"/>
        <v>0</v>
      </c>
    </row>
    <row r="62" spans="1:95" ht="21" customHeight="1">
      <c r="A62" s="26"/>
      <c r="B62" s="9"/>
      <c r="C62" s="11"/>
      <c r="D62" s="11"/>
      <c r="E62" s="11"/>
      <c r="F62" s="11"/>
      <c r="G62" s="11"/>
      <c r="H62" s="11"/>
      <c r="I62" s="11"/>
      <c r="J62" s="14"/>
      <c r="K62" s="46"/>
      <c r="L62" s="13"/>
      <c r="M62" s="13"/>
      <c r="N62" s="13"/>
      <c r="O62" s="46"/>
      <c r="P62" s="13"/>
      <c r="Q62" s="13"/>
      <c r="R62" s="13"/>
      <c r="S62" s="13"/>
      <c r="T62" s="13"/>
      <c r="U62" s="13"/>
      <c r="V62" s="13"/>
      <c r="W62" s="13"/>
      <c r="X62" s="46"/>
      <c r="Y62" s="13"/>
      <c r="Z62" s="13"/>
      <c r="AA62" s="13"/>
      <c r="AB62" s="13"/>
      <c r="AC62" s="13"/>
      <c r="AD62" s="13"/>
      <c r="AE62" s="13"/>
      <c r="AF62" s="13"/>
      <c r="AG62" s="13"/>
      <c r="AH62" s="46"/>
      <c r="AI62" s="13"/>
      <c r="AJ62" s="13"/>
      <c r="AK62" s="13"/>
      <c r="AL62" s="13"/>
      <c r="AM62" s="46"/>
      <c r="AN62" s="70"/>
      <c r="AO62" s="70"/>
      <c r="AP62" s="70"/>
      <c r="AQ62" s="70"/>
      <c r="AR62" s="70"/>
      <c r="AS62" s="161"/>
      <c r="AT62" s="13"/>
      <c r="AU62" s="13"/>
      <c r="AV62" s="13"/>
      <c r="AW62" s="13"/>
      <c r="AX62" s="13"/>
      <c r="AY62" s="46"/>
      <c r="AZ62" s="13"/>
      <c r="BA62" s="13"/>
      <c r="BB62" s="46"/>
      <c r="BC62" s="13"/>
      <c r="BD62" s="13"/>
      <c r="BE62" s="13"/>
      <c r="BF62" s="13"/>
      <c r="BG62" s="13"/>
      <c r="BH62" s="13"/>
      <c r="BI62" s="13"/>
      <c r="BJ62" s="46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46"/>
      <c r="CA62" s="105"/>
      <c r="CB62" s="56"/>
      <c r="CC62" s="13"/>
      <c r="CD62" s="105"/>
      <c r="CE62" s="105"/>
      <c r="CF62" s="105"/>
      <c r="CG62" s="105"/>
      <c r="CH62" s="105"/>
      <c r="CI62" s="105"/>
      <c r="CJ62" s="105"/>
      <c r="CK62" s="105"/>
      <c r="CL62" s="56"/>
      <c r="CM62" s="40">
        <f>SUM(CM5:CM61)</f>
        <v>2138167.9</v>
      </c>
      <c r="CN62" s="9"/>
      <c r="CO62" s="9"/>
      <c r="CP62" s="117"/>
      <c r="CQ62" s="40"/>
    </row>
    <row r="63" spans="1:95" ht="21" customHeight="1">
      <c r="A63" s="26"/>
      <c r="B63" s="9"/>
      <c r="C63" s="11"/>
      <c r="D63" s="11"/>
      <c r="E63" s="11"/>
      <c r="F63" s="11"/>
      <c r="G63" s="11"/>
      <c r="H63" s="11"/>
      <c r="I63" s="11"/>
      <c r="J63" s="14"/>
      <c r="K63" s="46"/>
      <c r="L63" s="13"/>
      <c r="M63" s="13"/>
      <c r="N63" s="13"/>
      <c r="O63" s="46"/>
      <c r="P63" s="13"/>
      <c r="Q63" s="13"/>
      <c r="R63" s="13"/>
      <c r="S63" s="13"/>
      <c r="T63" s="13"/>
      <c r="U63" s="13"/>
      <c r="V63" s="13"/>
      <c r="W63" s="13"/>
      <c r="X63" s="46"/>
      <c r="Y63" s="13"/>
      <c r="Z63" s="13"/>
      <c r="AA63" s="13"/>
      <c r="AB63" s="13"/>
      <c r="AC63" s="13"/>
      <c r="AD63" s="13"/>
      <c r="AE63" s="13"/>
      <c r="AF63" s="13"/>
      <c r="AG63" s="13"/>
      <c r="AH63" s="46"/>
      <c r="AI63" s="13"/>
      <c r="AJ63" s="13"/>
      <c r="AK63" s="13"/>
      <c r="AL63" s="13"/>
      <c r="AM63" s="46"/>
      <c r="AN63" s="70"/>
      <c r="AO63" s="70"/>
      <c r="AP63" s="70"/>
      <c r="AQ63" s="70"/>
      <c r="AR63" s="70"/>
      <c r="AS63" s="161"/>
      <c r="AT63" s="13"/>
      <c r="AU63" s="13"/>
      <c r="AV63" s="13"/>
      <c r="AW63" s="13"/>
      <c r="AX63" s="13"/>
      <c r="AY63" s="46"/>
      <c r="AZ63" s="13"/>
      <c r="BA63" s="13"/>
      <c r="BB63" s="46"/>
      <c r="BC63" s="13"/>
      <c r="BD63" s="13"/>
      <c r="BE63" s="13"/>
      <c r="BF63" s="13"/>
      <c r="BG63" s="13"/>
      <c r="BH63" s="13"/>
      <c r="BI63" s="13"/>
      <c r="BJ63" s="46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46"/>
      <c r="CA63" s="105"/>
      <c r="CB63" s="56"/>
      <c r="CC63" s="13"/>
      <c r="CD63" s="105"/>
      <c r="CE63" s="105"/>
      <c r="CF63" s="105"/>
      <c r="CG63" s="105"/>
      <c r="CH63" s="105"/>
      <c r="CI63" s="105"/>
      <c r="CJ63" s="105"/>
      <c r="CK63" s="105"/>
      <c r="CL63" s="56"/>
      <c r="CM63" s="40">
        <f>K65+O65+X65+AH65+AM65+AS65+AY65+BJ65+BZ65+CB65+CL65+BB65</f>
        <v>2138167.9</v>
      </c>
      <c r="CN63" s="9"/>
      <c r="CO63" s="9"/>
      <c r="CP63" s="117"/>
      <c r="CQ63" s="40"/>
    </row>
    <row r="64" spans="1:95" ht="21" customHeight="1">
      <c r="A64" s="39"/>
      <c r="C64" s="10">
        <v>1244.22</v>
      </c>
      <c r="D64" s="10"/>
      <c r="E64" s="10"/>
      <c r="F64" s="10"/>
      <c r="G64" s="10"/>
      <c r="H64" s="10"/>
      <c r="I64" s="10"/>
      <c r="J64" s="40"/>
      <c r="K64" s="46">
        <f t="shared" si="13"/>
        <v>0</v>
      </c>
      <c r="L64" s="8"/>
      <c r="M64" s="13"/>
      <c r="N64" s="13"/>
      <c r="O64" s="46">
        <f>SUM(L64:N64)</f>
        <v>0</v>
      </c>
      <c r="P64" s="8"/>
      <c r="Q64" s="13"/>
      <c r="R64" s="13"/>
      <c r="S64" s="13"/>
      <c r="T64" s="13"/>
      <c r="U64" s="13"/>
      <c r="V64" s="13"/>
      <c r="W64" s="13"/>
      <c r="X64" s="46">
        <f t="shared" si="11"/>
        <v>0</v>
      </c>
      <c r="Y64" s="8"/>
      <c r="Z64" s="8"/>
      <c r="AA64" s="8"/>
      <c r="AB64" s="8"/>
      <c r="AC64" s="8"/>
      <c r="AD64" s="8"/>
      <c r="AE64" s="8"/>
      <c r="AF64" s="8"/>
      <c r="AG64" s="8"/>
      <c r="AH64" s="46">
        <f>SUM(Y64:AG64)</f>
        <v>0</v>
      </c>
      <c r="AI64" s="8"/>
      <c r="AJ64" s="8"/>
      <c r="AK64" s="8"/>
      <c r="AL64" s="8"/>
      <c r="AM64" s="46">
        <f>SUM(AI64:AL64)</f>
        <v>0</v>
      </c>
      <c r="AT64" s="13"/>
      <c r="AU64" s="13"/>
      <c r="AV64" s="13"/>
      <c r="AW64" s="13"/>
      <c r="AX64" s="13"/>
      <c r="AY64" s="46">
        <f>SUM(AT64:AX64)</f>
        <v>0</v>
      </c>
      <c r="AZ64" s="8"/>
      <c r="BA64" s="8"/>
      <c r="BB64" s="46">
        <f t="shared" si="28"/>
        <v>0</v>
      </c>
      <c r="BC64" s="8"/>
      <c r="BD64" s="8"/>
      <c r="BE64" s="8"/>
      <c r="BF64" s="8"/>
      <c r="BG64" s="8"/>
      <c r="BH64" s="8"/>
      <c r="BI64" s="8"/>
      <c r="BJ64" s="46">
        <f>SUM(BC64:BI64)</f>
        <v>0</v>
      </c>
      <c r="BK64" s="8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46">
        <f>SUM(BK64:BY64)</f>
        <v>0</v>
      </c>
      <c r="CA64" s="105"/>
      <c r="CB64" s="56"/>
      <c r="CC64" s="13"/>
      <c r="CD64" s="105"/>
      <c r="CE64" s="105"/>
      <c r="CF64" s="105"/>
      <c r="CG64" s="105"/>
      <c r="CH64" s="105"/>
      <c r="CI64" s="105"/>
      <c r="CJ64" s="105"/>
      <c r="CK64" s="105"/>
      <c r="CL64" s="56">
        <f>SUM(CC64:CC64)</f>
        <v>0</v>
      </c>
      <c r="CM64" s="40"/>
      <c r="CN64" s="10" t="s">
        <v>66</v>
      </c>
      <c r="CO64" s="10">
        <v>1244.22</v>
      </c>
      <c r="CP64" s="117"/>
      <c r="CQ64" s="40">
        <f>CM64-CP61:CP64</f>
        <v>0</v>
      </c>
    </row>
    <row r="65" spans="3:96" ht="12.75">
      <c r="C65" s="3">
        <f>SUM(C5:C64)</f>
        <v>35096.630000000005</v>
      </c>
      <c r="D65" s="3">
        <f aca="true" t="shared" si="30" ref="D65:K65">SUM(D6:D64)+D5</f>
        <v>40519</v>
      </c>
      <c r="E65" s="3">
        <f t="shared" si="30"/>
        <v>28141</v>
      </c>
      <c r="F65" s="3">
        <f t="shared" si="30"/>
        <v>1342</v>
      </c>
      <c r="G65" s="3">
        <f t="shared" si="30"/>
        <v>1826</v>
      </c>
      <c r="H65" s="3">
        <f t="shared" si="30"/>
        <v>4927</v>
      </c>
      <c r="I65" s="3">
        <f t="shared" si="30"/>
        <v>14640</v>
      </c>
      <c r="J65" s="3">
        <f t="shared" si="30"/>
        <v>3687</v>
      </c>
      <c r="K65" s="3">
        <f t="shared" si="30"/>
        <v>95082</v>
      </c>
      <c r="L65" s="19">
        <f>SUM(L6:L64)</f>
        <v>3382</v>
      </c>
      <c r="M65" s="19">
        <f>SUM(M6:M64)</f>
        <v>27759</v>
      </c>
      <c r="N65" s="19">
        <f>SUM(N6:N64)</f>
        <v>25654</v>
      </c>
      <c r="O65" s="47">
        <f>SUM(O6:O64)</f>
        <v>56795</v>
      </c>
      <c r="P65" s="47">
        <f aca="true" t="shared" si="31" ref="P65:AY65">SUM(P6:P64)+P5</f>
        <v>1234</v>
      </c>
      <c r="Q65" s="47">
        <f t="shared" si="31"/>
        <v>8812.7</v>
      </c>
      <c r="R65" s="47">
        <f t="shared" si="31"/>
        <v>57710.2</v>
      </c>
      <c r="S65" s="47">
        <f t="shared" si="31"/>
        <v>4495.3</v>
      </c>
      <c r="T65" s="47">
        <f t="shared" si="31"/>
        <v>1491.4</v>
      </c>
      <c r="U65" s="47">
        <f t="shared" si="31"/>
        <v>67338</v>
      </c>
      <c r="V65" s="47">
        <f t="shared" si="31"/>
        <v>7688.6</v>
      </c>
      <c r="W65" s="47">
        <f t="shared" si="31"/>
        <v>3395.1</v>
      </c>
      <c r="X65" s="47">
        <f t="shared" si="31"/>
        <v>152165.30000000002</v>
      </c>
      <c r="Y65" s="47">
        <f t="shared" si="31"/>
        <v>6785.200000000001</v>
      </c>
      <c r="Z65" s="47">
        <f t="shared" si="31"/>
        <v>2357.5</v>
      </c>
      <c r="AA65" s="47">
        <f t="shared" si="31"/>
        <v>1516.9</v>
      </c>
      <c r="AB65" s="47">
        <f t="shared" si="31"/>
        <v>1749.7</v>
      </c>
      <c r="AC65" s="47">
        <f t="shared" si="31"/>
        <v>35120</v>
      </c>
      <c r="AD65" s="47">
        <f t="shared" si="31"/>
        <v>14360</v>
      </c>
      <c r="AE65" s="47">
        <f t="shared" si="31"/>
        <v>38873</v>
      </c>
      <c r="AF65" s="47">
        <f t="shared" si="31"/>
        <v>3944.3</v>
      </c>
      <c r="AG65" s="47">
        <f t="shared" si="31"/>
        <v>4164</v>
      </c>
      <c r="AH65" s="47">
        <f t="shared" si="31"/>
        <v>108870.59999999999</v>
      </c>
      <c r="AI65" s="47">
        <f t="shared" si="31"/>
        <v>10256.1</v>
      </c>
      <c r="AJ65" s="47">
        <f t="shared" si="31"/>
        <v>0</v>
      </c>
      <c r="AK65" s="47">
        <f t="shared" si="31"/>
        <v>0</v>
      </c>
      <c r="AL65" s="47">
        <f t="shared" si="31"/>
        <v>66957</v>
      </c>
      <c r="AM65" s="47">
        <f t="shared" si="31"/>
        <v>77213.1</v>
      </c>
      <c r="AN65" s="47">
        <f t="shared" si="31"/>
        <v>3152.4</v>
      </c>
      <c r="AO65" s="47">
        <f t="shared" si="31"/>
        <v>9443</v>
      </c>
      <c r="AP65" s="47">
        <f t="shared" si="31"/>
        <v>101598</v>
      </c>
      <c r="AQ65" s="47">
        <f t="shared" si="31"/>
        <v>86474</v>
      </c>
      <c r="AR65" s="47">
        <f t="shared" si="31"/>
        <v>12521</v>
      </c>
      <c r="AS65" s="47">
        <f t="shared" si="31"/>
        <v>213188.4</v>
      </c>
      <c r="AT65" s="19">
        <f t="shared" si="31"/>
        <v>111940</v>
      </c>
      <c r="AU65" s="19">
        <f t="shared" si="31"/>
        <v>135332</v>
      </c>
      <c r="AV65" s="19">
        <f t="shared" si="31"/>
        <v>4741</v>
      </c>
      <c r="AW65" s="19">
        <f t="shared" si="31"/>
        <v>10985.099999999999</v>
      </c>
      <c r="AX65" s="19">
        <f t="shared" si="31"/>
        <v>866.2</v>
      </c>
      <c r="AY65" s="47">
        <f t="shared" si="31"/>
        <v>263864.3</v>
      </c>
      <c r="AZ65" s="19">
        <f>SUM(AZ6:AZ64)</f>
        <v>20688.7</v>
      </c>
      <c r="BA65" s="19">
        <f>SUM(BA6:BA64)+BA5</f>
        <v>87744</v>
      </c>
      <c r="BB65" s="47">
        <f>SUM(BB5:BB64)</f>
        <v>108432.7</v>
      </c>
      <c r="BC65" s="19">
        <f aca="true" t="shared" si="32" ref="BC65:CA65">SUM(BC6:BC64)</f>
        <v>82223</v>
      </c>
      <c r="BD65" s="19">
        <f t="shared" si="32"/>
        <v>78777</v>
      </c>
      <c r="BE65" s="19">
        <f t="shared" si="32"/>
        <v>6069.3</v>
      </c>
      <c r="BF65" s="19">
        <f t="shared" si="32"/>
        <v>4433.4</v>
      </c>
      <c r="BG65" s="19">
        <f t="shared" si="32"/>
        <v>6431.9</v>
      </c>
      <c r="BH65" s="19">
        <f t="shared" si="32"/>
        <v>4930</v>
      </c>
      <c r="BI65" s="19">
        <f t="shared" si="32"/>
        <v>37391</v>
      </c>
      <c r="BJ65" s="47">
        <f t="shared" si="32"/>
        <v>220255.59999999998</v>
      </c>
      <c r="BK65" s="19">
        <f t="shared" si="32"/>
        <v>8053</v>
      </c>
      <c r="BL65" s="19">
        <f t="shared" si="32"/>
        <v>1232.1</v>
      </c>
      <c r="BM65" s="19">
        <f t="shared" si="32"/>
        <v>1280</v>
      </c>
      <c r="BN65" s="19">
        <f t="shared" si="32"/>
        <v>1340.3</v>
      </c>
      <c r="BO65" s="19">
        <f t="shared" si="32"/>
        <v>1390.5</v>
      </c>
      <c r="BP65" s="19">
        <f t="shared" si="32"/>
        <v>2193.7</v>
      </c>
      <c r="BQ65" s="19">
        <f t="shared" si="32"/>
        <v>1222.7</v>
      </c>
      <c r="BR65" s="19">
        <f t="shared" si="32"/>
        <v>1556.2</v>
      </c>
      <c r="BS65" s="19">
        <f t="shared" si="32"/>
        <v>1230.8</v>
      </c>
      <c r="BT65" s="19">
        <f t="shared" si="32"/>
        <v>4759.6</v>
      </c>
      <c r="BU65" s="19">
        <f t="shared" si="32"/>
        <v>82081</v>
      </c>
      <c r="BV65" s="19">
        <f t="shared" si="32"/>
        <v>78777</v>
      </c>
      <c r="BW65" s="19">
        <f t="shared" si="32"/>
        <v>1390.7</v>
      </c>
      <c r="BX65" s="19">
        <f t="shared" si="32"/>
        <v>2686.4</v>
      </c>
      <c r="BY65" s="19">
        <f t="shared" si="32"/>
        <v>33389</v>
      </c>
      <c r="BZ65" s="47">
        <f t="shared" si="32"/>
        <v>222582.99999999997</v>
      </c>
      <c r="CA65" s="19">
        <f t="shared" si="32"/>
        <v>0</v>
      </c>
      <c r="CB65" s="47"/>
      <c r="CC65" s="19">
        <f aca="true" t="shared" si="33" ref="CC65:CL65">SUM(CC6:CC64)+CC5</f>
        <v>78564</v>
      </c>
      <c r="CD65" s="19">
        <f t="shared" si="33"/>
        <v>93034</v>
      </c>
      <c r="CE65" s="19">
        <f t="shared" si="33"/>
        <v>2643.2</v>
      </c>
      <c r="CF65" s="19">
        <f t="shared" si="33"/>
        <v>77886</v>
      </c>
      <c r="CG65" s="19">
        <f t="shared" si="33"/>
        <v>134556</v>
      </c>
      <c r="CH65" s="19">
        <f t="shared" si="33"/>
        <v>38548</v>
      </c>
      <c r="CI65" s="19">
        <f t="shared" si="33"/>
        <v>191230</v>
      </c>
      <c r="CJ65" s="19">
        <f t="shared" si="33"/>
        <v>1561.3</v>
      </c>
      <c r="CK65" s="19">
        <f t="shared" si="33"/>
        <v>1695.4</v>
      </c>
      <c r="CL65" s="47">
        <f t="shared" si="33"/>
        <v>619717.9</v>
      </c>
      <c r="CM65" s="40"/>
      <c r="CO65" s="3">
        <f>SUM(CO5:CO64)</f>
        <v>35096.630000000005</v>
      </c>
      <c r="CP65" s="47">
        <f>SUM(CP6:CP64)+CP5</f>
        <v>1434853.5</v>
      </c>
      <c r="CQ65" s="47">
        <f>SUM(CQ6:CQ64)+CQ5</f>
        <v>703314.4</v>
      </c>
      <c r="CR65" s="57">
        <f>SUM(CP65:CQ65)</f>
        <v>2138167.9</v>
      </c>
    </row>
    <row r="66" spans="10:91" ht="12.75">
      <c r="J66" s="17"/>
      <c r="K66" s="48">
        <f>D65+E65+F65+G65+H65+I65+J65</f>
        <v>95082</v>
      </c>
      <c r="O66" s="49">
        <f>L65+M65+N65</f>
        <v>56795</v>
      </c>
      <c r="X66" s="49">
        <f>P65+Q65+R65+S65+T65+U65+V65+W65</f>
        <v>152165.3</v>
      </c>
      <c r="AH66" s="49">
        <f>Y65+Z65+AA65+AB65+AC65+AD65+AE65+AF65+AG65</f>
        <v>108870.6</v>
      </c>
      <c r="AM66" s="49">
        <f>AI65+AJ65+AK65+AL65</f>
        <v>77213.1</v>
      </c>
      <c r="AN66" s="50"/>
      <c r="AO66" s="50"/>
      <c r="AP66" s="50"/>
      <c r="AQ66" s="50"/>
      <c r="AR66" s="50"/>
      <c r="AS66" s="47">
        <f>AN65+AO65+AP65+AQ65+AR65</f>
        <v>213188.4</v>
      </c>
      <c r="AY66" s="49" t="e">
        <f>#REF!+#REF!+#REF!+#REF!+AT65+AU65+AV65+AW65+AX65</f>
        <v>#REF!</v>
      </c>
      <c r="BB66" s="49">
        <f>AZ65+BA65</f>
        <v>108432.7</v>
      </c>
      <c r="BJ66" s="49">
        <f>BC65+BD65+BE65+BF65+BG65+BH65+BI65</f>
        <v>220255.59999999998</v>
      </c>
      <c r="BZ66" s="49">
        <f>SUM(BK65:BY65)</f>
        <v>222583</v>
      </c>
      <c r="CB66" s="49"/>
      <c r="CL66" s="49">
        <f>CC65+CD65+CE65+CF65+CG65+CH65+CI65+CJ65+CK65</f>
        <v>619717.9</v>
      </c>
      <c r="CM66" s="40"/>
    </row>
    <row r="67" spans="2:95" ht="12.75">
      <c r="B67" s="10"/>
      <c r="BZ67" s="57"/>
      <c r="CO67" t="s">
        <v>114</v>
      </c>
      <c r="CQ67" s="57">
        <f>CR65</f>
        <v>2138167.9</v>
      </c>
    </row>
    <row r="68" ht="12.75">
      <c r="CM68" s="57">
        <f>CL65+CB65+BZ65+BJ65+AY65+BB65</f>
        <v>1434853.5</v>
      </c>
    </row>
  </sheetData>
  <sheetProtection/>
  <mergeCells count="28">
    <mergeCell ref="AT34:AY35"/>
    <mergeCell ref="CC2:CL3"/>
    <mergeCell ref="AI2:AM3"/>
    <mergeCell ref="AT2:AY3"/>
    <mergeCell ref="AN2:AS3"/>
    <mergeCell ref="CC34:CL35"/>
    <mergeCell ref="BC2:BJ3"/>
    <mergeCell ref="BK2:BZ3"/>
    <mergeCell ref="CA34:CB35"/>
    <mergeCell ref="CA2:CB3"/>
    <mergeCell ref="B34:B36"/>
    <mergeCell ref="C34:C36"/>
    <mergeCell ref="J34:K35"/>
    <mergeCell ref="L34:O35"/>
    <mergeCell ref="C2:C4"/>
    <mergeCell ref="J2:K3"/>
    <mergeCell ref="L2:O3"/>
    <mergeCell ref="B2:B4"/>
    <mergeCell ref="BC34:BJ35"/>
    <mergeCell ref="BK34:BZ35"/>
    <mergeCell ref="AZ2:BB3"/>
    <mergeCell ref="P34:X35"/>
    <mergeCell ref="Y34:AH35"/>
    <mergeCell ref="AN34:AS35"/>
    <mergeCell ref="P2:X3"/>
    <mergeCell ref="Y2:AH3"/>
    <mergeCell ref="AZ34:BB35"/>
    <mergeCell ref="AI34:AM35"/>
  </mergeCells>
  <printOptions/>
  <pageMargins left="0" right="0" top="0" bottom="0" header="0.5118110236220472" footer="0.5118110236220472"/>
  <pageSetup fitToHeight="2" fitToWidth="5" horizontalDpi="600" verticalDpi="600" orientation="landscape" pageOrder="overThenDown" paperSize="9" scale="72" r:id="rId1"/>
  <rowBreaks count="1" manualBreakCount="1">
    <brk id="33" max="9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Deldichkina</dc:creator>
  <cp:keywords/>
  <dc:description/>
  <cp:lastModifiedBy>Суханова Елена</cp:lastModifiedBy>
  <cp:lastPrinted>2015-02-26T03:12:21Z</cp:lastPrinted>
  <dcterms:created xsi:type="dcterms:W3CDTF">2011-09-01T01:36:11Z</dcterms:created>
  <dcterms:modified xsi:type="dcterms:W3CDTF">2015-03-20T07:58:29Z</dcterms:modified>
  <cp:category/>
  <cp:version/>
  <cp:contentType/>
  <cp:contentStatus/>
</cp:coreProperties>
</file>